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rección de Administración y Finanzas\Administracion y Finanzas\5.REPORTERÍA AYF\2025\3) IGM 2025\"/>
    </mc:Choice>
  </mc:AlternateContent>
  <xr:revisionPtr revIDLastSave="0" documentId="13_ncr:1_{5861F557-B4FE-4226-AD7A-F33AEE55112B}" xr6:coauthVersionLast="47" xr6:coauthVersionMax="47" xr10:uidLastSave="{00000000-0000-0000-0000-000000000000}"/>
  <bookViews>
    <workbookView xWindow="-110" yWindow="-110" windowWidth="19420" windowHeight="11500" tabRatio="518" activeTab="1" xr2:uid="{476687BC-5FFF-41EF-AF5F-2DDB8C215B3E}"/>
  </bookViews>
  <sheets>
    <sheet name="Reporte" sheetId="6" r:id="rId1"/>
    <sheet name="PPTO HISTORICO" sheetId="17" r:id="rId2"/>
    <sheet name="OC Acumulado" sheetId="11" r:id="rId3"/>
    <sheet name="Compras Mayo" sheetId="36" r:id="rId4"/>
    <sheet name="Compras Abril" sheetId="35" r:id="rId5"/>
    <sheet name="Compras Marzo" sheetId="34" r:id="rId6"/>
    <sheet name="Compras Febrero" sheetId="33" r:id="rId7"/>
    <sheet name="Compras Enero" sheetId="31" r:id="rId8"/>
  </sheets>
  <definedNames>
    <definedName name="_xlnm._FilterDatabase" localSheetId="4" hidden="1">'Compras Abril'!$B$2:$S$12</definedName>
    <definedName name="_xlnm._FilterDatabase" localSheetId="7" hidden="1">'Compras Enero'!$B$2:$S$14</definedName>
    <definedName name="_xlnm._FilterDatabase" localSheetId="6" hidden="1">'Compras Febrero'!$B$2:$S$6</definedName>
    <definedName name="_xlnm._FilterDatabase" localSheetId="5" hidden="1">'Compras Marzo'!$B$2:$S$12</definedName>
    <definedName name="_xlnm._FilterDatabase" localSheetId="3" hidden="1">'Compras Mayo'!$B$2:$S$16</definedName>
    <definedName name="_xlnm._FilterDatabase" localSheetId="2" hidden="1">'OC Acumulado'!$B$2:$S$15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7" l="1"/>
  <c r="S46" i="11" l="1"/>
  <c r="S5" i="36"/>
  <c r="G25" i="6"/>
  <c r="G23" i="6"/>
  <c r="G22" i="6"/>
  <c r="G16" i="6"/>
  <c r="G15" i="6"/>
  <c r="G14" i="6"/>
  <c r="G13" i="6"/>
  <c r="G12" i="6"/>
  <c r="G7" i="6"/>
  <c r="D57" i="11"/>
  <c r="S56" i="11"/>
  <c r="S55" i="11"/>
  <c r="S54" i="11"/>
  <c r="S53" i="11"/>
  <c r="S52" i="11"/>
  <c r="S51" i="11"/>
  <c r="S50" i="11"/>
  <c r="S49" i="11"/>
  <c r="S48" i="11"/>
  <c r="S47" i="11"/>
  <c r="S45" i="11"/>
  <c r="S44" i="11"/>
  <c r="S43" i="11"/>
  <c r="S10" i="36"/>
  <c r="S11" i="36"/>
  <c r="S12" i="36"/>
  <c r="S13" i="36"/>
  <c r="S14" i="36"/>
  <c r="D16" i="36"/>
  <c r="S15" i="36"/>
  <c r="S9" i="36"/>
  <c r="S8" i="36"/>
  <c r="S7" i="36"/>
  <c r="S6" i="36"/>
  <c r="S4" i="36"/>
  <c r="S3" i="36"/>
  <c r="G24" i="6" s="1"/>
  <c r="S2" i="36"/>
  <c r="G21" i="6" s="1"/>
  <c r="F45" i="17"/>
  <c r="S41" i="11"/>
  <c r="S40" i="11"/>
  <c r="S39" i="11"/>
  <c r="S38" i="11"/>
  <c r="S37" i="11"/>
  <c r="S36" i="11"/>
  <c r="S35" i="11"/>
  <c r="S34" i="11"/>
  <c r="S33" i="11"/>
  <c r="S32" i="11"/>
  <c r="S3" i="35"/>
  <c r="S4" i="35"/>
  <c r="S5" i="35"/>
  <c r="S6" i="35"/>
  <c r="S7" i="35"/>
  <c r="S8" i="35"/>
  <c r="S9" i="35"/>
  <c r="S10" i="35"/>
  <c r="S11" i="35"/>
  <c r="S2" i="35"/>
  <c r="F25" i="6"/>
  <c r="F24" i="6"/>
  <c r="F23" i="6"/>
  <c r="F22" i="6"/>
  <c r="F21" i="6"/>
  <c r="F16" i="6"/>
  <c r="F15" i="6"/>
  <c r="F14" i="6"/>
  <c r="F13" i="6"/>
  <c r="F12" i="6"/>
  <c r="F7" i="6"/>
  <c r="E7" i="6"/>
  <c r="D42" i="11"/>
  <c r="D12" i="35"/>
  <c r="E27" i="6"/>
  <c r="E45" i="17"/>
  <c r="S57" i="11" l="1"/>
  <c r="S16" i="36"/>
  <c r="G27" i="6" s="1"/>
  <c r="S42" i="11"/>
  <c r="S12" i="35"/>
  <c r="F27" i="6" s="1"/>
  <c r="G46" i="6"/>
  <c r="C48" i="6"/>
  <c r="E25" i="6" l="1"/>
  <c r="E23" i="6"/>
  <c r="E22" i="6"/>
  <c r="E16" i="6"/>
  <c r="E15" i="6"/>
  <c r="E14" i="6"/>
  <c r="E13" i="6"/>
  <c r="E12" i="6"/>
  <c r="D31" i="11"/>
  <c r="S30" i="11"/>
  <c r="S29" i="11"/>
  <c r="S28" i="11"/>
  <c r="S27" i="11"/>
  <c r="S26" i="11"/>
  <c r="S25" i="11"/>
  <c r="S24" i="11"/>
  <c r="S23" i="11"/>
  <c r="S22" i="11"/>
  <c r="S21" i="11"/>
  <c r="S12" i="34"/>
  <c r="S11" i="34"/>
  <c r="S4" i="34"/>
  <c r="S5" i="34"/>
  <c r="E24" i="6" s="1"/>
  <c r="S6" i="34"/>
  <c r="S7" i="34"/>
  <c r="S8" i="34"/>
  <c r="S9" i="34"/>
  <c r="S10" i="34"/>
  <c r="D12" i="34"/>
  <c r="S3" i="34"/>
  <c r="S2" i="34"/>
  <c r="E21" i="6" s="1"/>
  <c r="S31" i="11" l="1"/>
  <c r="D8" i="6"/>
  <c r="C8" i="6"/>
  <c r="D27" i="6"/>
  <c r="D25" i="6"/>
  <c r="D24" i="6"/>
  <c r="D23" i="6"/>
  <c r="D22" i="6"/>
  <c r="D21" i="6"/>
  <c r="D16" i="6"/>
  <c r="D15" i="6"/>
  <c r="D14" i="6"/>
  <c r="D13" i="6"/>
  <c r="D12" i="6"/>
  <c r="D20" i="11"/>
  <c r="S19" i="11"/>
  <c r="S18" i="11"/>
  <c r="S17" i="11"/>
  <c r="S16" i="11"/>
  <c r="S20" i="11" l="1"/>
  <c r="D6" i="33"/>
  <c r="S5" i="33"/>
  <c r="S4" i="33"/>
  <c r="S3" i="33"/>
  <c r="S2" i="33"/>
  <c r="S6" i="33" s="1"/>
  <c r="S8" i="17" l="1"/>
  <c r="D45" i="17"/>
  <c r="O30" i="6" l="1"/>
  <c r="S7" i="17"/>
  <c r="C45" i="17"/>
  <c r="D7" i="6"/>
  <c r="S14" i="11"/>
  <c r="S13" i="11"/>
  <c r="S12" i="11"/>
  <c r="S11" i="11"/>
  <c r="S10" i="11"/>
  <c r="S9" i="11"/>
  <c r="S8" i="11"/>
  <c r="S7" i="11"/>
  <c r="S6" i="11"/>
  <c r="S5" i="11"/>
  <c r="S4" i="11"/>
  <c r="S3" i="11"/>
  <c r="E46" i="17" l="1"/>
  <c r="F46" i="17"/>
  <c r="D46" i="17"/>
  <c r="G46" i="17"/>
  <c r="H46" i="17"/>
  <c r="I46" i="17"/>
  <c r="J46" i="17"/>
  <c r="K46" i="17"/>
  <c r="L46" i="17"/>
  <c r="M46" i="17"/>
  <c r="N46" i="17"/>
  <c r="C46" i="17"/>
  <c r="S9" i="17"/>
  <c r="S14" i="31"/>
  <c r="S3" i="31"/>
  <c r="S4" i="31"/>
  <c r="S5" i="31"/>
  <c r="S6" i="31"/>
  <c r="S7" i="31"/>
  <c r="S8" i="31"/>
  <c r="S9" i="31"/>
  <c r="S10" i="31"/>
  <c r="S11" i="31"/>
  <c r="S12" i="31"/>
  <c r="S13" i="31"/>
  <c r="S2" i="31"/>
  <c r="C31" i="6"/>
  <c r="R7" i="17"/>
  <c r="R6" i="17"/>
  <c r="D31" i="6" l="1"/>
  <c r="M26" i="6"/>
  <c r="C7" i="6"/>
  <c r="O5" i="6"/>
  <c r="O6" i="6"/>
  <c r="C27" i="6"/>
  <c r="J17" i="6"/>
  <c r="E17" i="6"/>
  <c r="E8" i="6" s="1"/>
  <c r="D15" i="11"/>
  <c r="D14" i="31"/>
  <c r="I17" i="6"/>
  <c r="C12" i="6"/>
  <c r="D17" i="6"/>
  <c r="F17" i="6"/>
  <c r="F8" i="6" s="1"/>
  <c r="G17" i="6"/>
  <c r="G8" i="6" s="1"/>
  <c r="H17" i="6"/>
  <c r="C21" i="6"/>
  <c r="C22" i="6"/>
  <c r="C23" i="6"/>
  <c r="C24" i="6"/>
  <c r="C25" i="6"/>
  <c r="F26" i="6"/>
  <c r="N26" i="6"/>
  <c r="C13" i="6"/>
  <c r="C14" i="6"/>
  <c r="C15" i="6"/>
  <c r="C16" i="6"/>
  <c r="I46" i="6"/>
  <c r="D41" i="6"/>
  <c r="E41" i="6"/>
  <c r="F41" i="6"/>
  <c r="G41" i="6"/>
  <c r="H41" i="6"/>
  <c r="I41" i="6"/>
  <c r="J41" i="6"/>
  <c r="K41" i="6"/>
  <c r="L41" i="6"/>
  <c r="M41" i="6"/>
  <c r="N41" i="6"/>
  <c r="C41" i="6"/>
  <c r="O40" i="6"/>
  <c r="G26" i="6"/>
  <c r="O38" i="6"/>
  <c r="O39" i="6"/>
  <c r="O37" i="6"/>
  <c r="O36" i="6"/>
  <c r="O35" i="6"/>
  <c r="C40" i="17"/>
  <c r="D40" i="17"/>
  <c r="C41" i="17"/>
  <c r="Q6" i="17"/>
  <c r="D41" i="17"/>
  <c r="E40" i="17"/>
  <c r="F40" i="17"/>
  <c r="E41" i="17"/>
  <c r="G40" i="17"/>
  <c r="F41" i="17"/>
  <c r="C33" i="17"/>
  <c r="H40" i="17"/>
  <c r="I40" i="17"/>
  <c r="J40" i="17"/>
  <c r="P7" i="17"/>
  <c r="Q7" i="17"/>
  <c r="C34" i="17"/>
  <c r="C35" i="17" s="1"/>
  <c r="D34" i="17"/>
  <c r="N17" i="6"/>
  <c r="M17" i="6"/>
  <c r="E34" i="17"/>
  <c r="E35" i="17" s="1"/>
  <c r="D35" i="17"/>
  <c r="F34" i="17"/>
  <c r="G34" i="17" s="1"/>
  <c r="C28" i="17"/>
  <c r="C29" i="17" s="1"/>
  <c r="D28" i="17"/>
  <c r="D29" i="17" s="1"/>
  <c r="E28" i="17"/>
  <c r="E29" i="17" s="1"/>
  <c r="F28" i="17"/>
  <c r="G28" i="17" s="1"/>
  <c r="N9" i="17"/>
  <c r="D7" i="17"/>
  <c r="E7" i="17"/>
  <c r="F7" i="17"/>
  <c r="G7" i="17"/>
  <c r="H7" i="17"/>
  <c r="I7" i="17"/>
  <c r="J7" i="17"/>
  <c r="K7" i="17"/>
  <c r="L7" i="17"/>
  <c r="M7" i="17"/>
  <c r="N7" i="17"/>
  <c r="C7" i="17"/>
  <c r="C22" i="17"/>
  <c r="D22" i="17" s="1"/>
  <c r="C15" i="17"/>
  <c r="O7" i="17"/>
  <c r="D15" i="17"/>
  <c r="O9" i="17"/>
  <c r="E15" i="17"/>
  <c r="F15" i="17"/>
  <c r="G15" i="17"/>
  <c r="H15" i="17"/>
  <c r="I15" i="17"/>
  <c r="J15" i="17"/>
  <c r="K15" i="17"/>
  <c r="L15" i="17"/>
  <c r="M15" i="17"/>
  <c r="N15" i="17"/>
  <c r="K9" i="17"/>
  <c r="L9" i="17"/>
  <c r="D9" i="17"/>
  <c r="G9" i="17"/>
  <c r="H9" i="17"/>
  <c r="J9" i="17"/>
  <c r="I9" i="17"/>
  <c r="M9" i="17"/>
  <c r="E9" i="17"/>
  <c r="C9" i="17"/>
  <c r="F9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J26" i="6"/>
  <c r="E26" i="6"/>
  <c r="H26" i="6"/>
  <c r="D26" i="6"/>
  <c r="I26" i="6"/>
  <c r="J41" i="17"/>
  <c r="K40" i="17"/>
  <c r="I41" i="17"/>
  <c r="K41" i="17"/>
  <c r="D59" i="11" l="1"/>
  <c r="U60" i="11"/>
  <c r="H34" i="17"/>
  <c r="G35" i="17"/>
  <c r="D23" i="17"/>
  <c r="E22" i="17"/>
  <c r="H28" i="17"/>
  <c r="G29" i="17"/>
  <c r="C23" i="17"/>
  <c r="F35" i="17"/>
  <c r="F29" i="17"/>
  <c r="E31" i="6"/>
  <c r="D32" i="6"/>
  <c r="O41" i="6"/>
  <c r="C32" i="6"/>
  <c r="C17" i="6"/>
  <c r="C26" i="6"/>
  <c r="O7" i="6"/>
  <c r="G41" i="17"/>
  <c r="H41" i="17"/>
  <c r="O25" i="6"/>
  <c r="O23" i="6"/>
  <c r="L26" i="6"/>
  <c r="O13" i="6"/>
  <c r="L17" i="6"/>
  <c r="O14" i="6"/>
  <c r="O15" i="6"/>
  <c r="O16" i="6"/>
  <c r="O22" i="6"/>
  <c r="O21" i="6"/>
  <c r="L40" i="17"/>
  <c r="K26" i="6"/>
  <c r="K17" i="6"/>
  <c r="O12" i="6"/>
  <c r="S15" i="11"/>
  <c r="S59" i="11" l="1"/>
  <c r="O27" i="6" s="1"/>
  <c r="U59" i="11"/>
  <c r="I28" i="17"/>
  <c r="H29" i="17"/>
  <c r="F22" i="17"/>
  <c r="E23" i="17"/>
  <c r="I34" i="17"/>
  <c r="H35" i="17"/>
  <c r="F31" i="6"/>
  <c r="E32" i="6"/>
  <c r="O24" i="6"/>
  <c r="O26" i="6"/>
  <c r="O17" i="6"/>
  <c r="P17" i="6" s="1"/>
  <c r="L41" i="17"/>
  <c r="M40" i="17"/>
  <c r="I35" i="17" l="1"/>
  <c r="J34" i="17"/>
  <c r="F23" i="17"/>
  <c r="G22" i="17"/>
  <c r="I29" i="17"/>
  <c r="J28" i="17"/>
  <c r="O8" i="6"/>
  <c r="G31" i="6"/>
  <c r="F32" i="6"/>
  <c r="P26" i="6"/>
  <c r="M41" i="17"/>
  <c r="N40" i="17"/>
  <c r="J29" i="17" l="1"/>
  <c r="K28" i="17"/>
  <c r="H22" i="17"/>
  <c r="G23" i="17"/>
  <c r="J35" i="17"/>
  <c r="K34" i="17"/>
  <c r="G32" i="6"/>
  <c r="H31" i="6"/>
  <c r="N41" i="17"/>
  <c r="R8" i="17"/>
  <c r="R9" i="17" s="1"/>
  <c r="L34" i="17" l="1"/>
  <c r="K35" i="17"/>
  <c r="H23" i="17"/>
  <c r="I22" i="17"/>
  <c r="L28" i="17"/>
  <c r="K29" i="17"/>
  <c r="H32" i="6"/>
  <c r="I31" i="6"/>
  <c r="L29" i="17" l="1"/>
  <c r="M28" i="17"/>
  <c r="I23" i="17"/>
  <c r="J22" i="17"/>
  <c r="L35" i="17"/>
  <c r="M34" i="17"/>
  <c r="J31" i="6"/>
  <c r="I32" i="6"/>
  <c r="N34" i="17" l="1"/>
  <c r="M35" i="17"/>
  <c r="K22" i="17"/>
  <c r="J23" i="17"/>
  <c r="M29" i="17"/>
  <c r="N28" i="17"/>
  <c r="J32" i="6"/>
  <c r="K31" i="6"/>
  <c r="N29" i="17" l="1"/>
  <c r="P8" i="17"/>
  <c r="P9" i="17" s="1"/>
  <c r="K23" i="17"/>
  <c r="L22" i="17"/>
  <c r="N35" i="17"/>
  <c r="Q8" i="17"/>
  <c r="Q9" i="17" s="1"/>
  <c r="K32" i="6"/>
  <c r="L31" i="6"/>
  <c r="L23" i="17" l="1"/>
  <c r="M22" i="17"/>
  <c r="L32" i="6"/>
  <c r="M31" i="6"/>
  <c r="M23" i="17" l="1"/>
  <c r="N22" i="17"/>
  <c r="N23" i="17" s="1"/>
  <c r="M32" i="6"/>
  <c r="N31" i="6"/>
  <c r="N32" i="6" l="1"/>
  <c r="O31" i="6"/>
  <c r="O32" i="6" l="1"/>
  <c r="E4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Jeanina Fabiola Cañas Moraga</author>
  </authors>
  <commentList>
    <comment ref="C30" authorId="0" shapeId="0" xr:uid="{9EC35665-0ADF-4BC1-843B-0F80BD58020A}">
      <text>
        <r>
          <rPr>
            <b/>
            <sz val="9"/>
            <color indexed="81"/>
            <rFont val="Tahoma"/>
            <family val="2"/>
          </rPr>
          <t>Jeanina Fabiola Cañas Moraga:</t>
        </r>
        <r>
          <rPr>
            <sz val="9"/>
            <color indexed="81"/>
            <rFont val="Tahoma"/>
            <family val="2"/>
          </rPr>
          <t xml:space="preserve">
Cambia ejecución por aprobación de la Deuda Flotante</t>
        </r>
      </text>
    </comment>
  </commentList>
</comments>
</file>

<file path=xl/sharedStrings.xml><?xml version="1.0" encoding="utf-8"?>
<sst xmlns="http://schemas.openxmlformats.org/spreadsheetml/2006/main" count="1219" uniqueCount="245">
  <si>
    <t>Licitaciones</t>
  </si>
  <si>
    <t>Compras Coordinadas</t>
  </si>
  <si>
    <t>N° orden de compra</t>
  </si>
  <si>
    <t>Nombre de la OC</t>
  </si>
  <si>
    <t>Tipo de compra</t>
  </si>
  <si>
    <t>Estado OC</t>
  </si>
  <si>
    <t>Nombre Proveedor</t>
  </si>
  <si>
    <t>RUT Proveedor</t>
  </si>
  <si>
    <t>Fecha de creación OC</t>
  </si>
  <si>
    <t>Fecha envió de OC</t>
  </si>
  <si>
    <t>Monto neto</t>
  </si>
  <si>
    <t>Descuentos</t>
  </si>
  <si>
    <t>Cargos</t>
  </si>
  <si>
    <t>I.V.A</t>
  </si>
  <si>
    <t>Impuesto Específico</t>
  </si>
  <si>
    <t>Total OC</t>
  </si>
  <si>
    <t xml:space="preserve">Contrataciones </t>
  </si>
  <si>
    <t>Ordenes de Compra</t>
  </si>
  <si>
    <t>Total</t>
  </si>
  <si>
    <t>Ejecución Mensual</t>
  </si>
  <si>
    <t>Ejecución Acumulada</t>
  </si>
  <si>
    <t>% Ejecución acumulada</t>
  </si>
  <si>
    <t>Unidad compradora</t>
  </si>
  <si>
    <t>Ejecución Presupuestaria (En M$)</t>
  </si>
  <si>
    <t>Enero</t>
  </si>
  <si>
    <t>Febrero</t>
  </si>
  <si>
    <t>Acumulado</t>
  </si>
  <si>
    <t>Trato Directo</t>
  </si>
  <si>
    <t>Marzo</t>
  </si>
  <si>
    <t>Abril</t>
  </si>
  <si>
    <t>Presupuesto</t>
  </si>
  <si>
    <t>Mayo</t>
  </si>
  <si>
    <t>Junio</t>
  </si>
  <si>
    <t>Presupuesto anual aprobado</t>
  </si>
  <si>
    <t>Suplementos</t>
  </si>
  <si>
    <t>Presupuesto total</t>
  </si>
  <si>
    <t>Presupuesto ejecutado</t>
  </si>
  <si>
    <t>% de ejecución (sobre presupuesto total)</t>
  </si>
  <si>
    <t>Julio</t>
  </si>
  <si>
    <t>Agosto</t>
  </si>
  <si>
    <t>Septiembre</t>
  </si>
  <si>
    <t>Octubre</t>
  </si>
  <si>
    <t>Noviembre</t>
  </si>
  <si>
    <t>Diciembre</t>
  </si>
  <si>
    <t xml:space="preserve">Presupuesto ejecutado en el mes </t>
  </si>
  <si>
    <t>Presupuesto ejecutado acumulada</t>
  </si>
  <si>
    <t>% de ejecución presupuestaria</t>
  </si>
  <si>
    <t>Presupuesto ejecutado en el mes</t>
  </si>
  <si>
    <t>HISTORICO PPTO Y EJECUCION</t>
  </si>
  <si>
    <t>Presupuesto Total</t>
  </si>
  <si>
    <t xml:space="preserve">Octubre </t>
  </si>
  <si>
    <t>Tipo Moneda</t>
  </si>
  <si>
    <t>Tipo de cambio</t>
  </si>
  <si>
    <t>Total OC en $</t>
  </si>
  <si>
    <t>Monto Tipo de cambio</t>
  </si>
  <si>
    <t>Convenio Marco</t>
  </si>
  <si>
    <t>Sumatoria Enero</t>
  </si>
  <si>
    <t>Compra Ágil</t>
  </si>
  <si>
    <t>Total Acumulado</t>
  </si>
  <si>
    <t>Control</t>
  </si>
  <si>
    <t>Ordenes de Compra emitidas en MP</t>
  </si>
  <si>
    <t>Subtítulo 23</t>
  </si>
  <si>
    <t>Subtítulo 29</t>
  </si>
  <si>
    <t>Ejecución (En M$)</t>
  </si>
  <si>
    <t>Subtítulo 26</t>
  </si>
  <si>
    <t>Subtítulo 34</t>
  </si>
  <si>
    <t>lineal</t>
  </si>
  <si>
    <t>Reclamos en Mercado Publico</t>
  </si>
  <si>
    <t>Respuesta OK</t>
  </si>
  <si>
    <t>Reclamo</t>
  </si>
  <si>
    <t>Pago no oportuno</t>
  </si>
  <si>
    <t>Irregul. Proceso de Compra</t>
  </si>
  <si>
    <t>5752-13-AG25</t>
  </si>
  <si>
    <t>Renovación suscripción diario digital La Tercera</t>
  </si>
  <si>
    <t>Aceptada</t>
  </si>
  <si>
    <t>Consejo para la Transparencia</t>
  </si>
  <si>
    <t>COMERCIALIZADORA GC S.A.</t>
  </si>
  <si>
    <t>76.058.347-2</t>
  </si>
  <si>
    <t>5752-12-AG25</t>
  </si>
  <si>
    <t>Renovación suscripción anual diario digital La Segunda y El Mercurio</t>
  </si>
  <si>
    <t>EMPRESA EL MERCURIO S A P</t>
  </si>
  <si>
    <t>90.193.000-7</t>
  </si>
  <si>
    <t>5752-11-CM25</t>
  </si>
  <si>
    <t>Compra de pasajes ida y vuelta nacional Santiago - Osorno para Christian Anker</t>
  </si>
  <si>
    <t>LATAM AIRLINES GROUP S.A.</t>
  </si>
  <si>
    <t>89.862.200-2</t>
  </si>
  <si>
    <t>5752-10-CM25</t>
  </si>
  <si>
    <t>Compra de pasaje nacional Castro - Santiago para Juan Pablo Camps</t>
  </si>
  <si>
    <t>5752-9-CM25</t>
  </si>
  <si>
    <t>Compra de pasaje nacional Santiago - Puerto Montt para Juan Pablo Camps</t>
  </si>
  <si>
    <t>5752-8-AG25</t>
  </si>
  <si>
    <t>Servicio de alimentación, acceso a piscina y estacionamiento</t>
  </si>
  <si>
    <t>PEHUEN SPA</t>
  </si>
  <si>
    <t>96.635.520-4</t>
  </si>
  <si>
    <t>5752-7-CM25</t>
  </si>
  <si>
    <t>Compra de pasaje nacional Castro - Santiago para Felipe Diaz</t>
  </si>
  <si>
    <t>5752-5-CM25</t>
  </si>
  <si>
    <t>Compra de pasaje nacional Santiago - Puerto Montt para Felipe Diaz</t>
  </si>
  <si>
    <t>5752-4-AG25</t>
  </si>
  <si>
    <t>Compra Batería y Adaptador Equipo Lenovo</t>
  </si>
  <si>
    <t>IMPORTADORA KYRIOS SPA</t>
  </si>
  <si>
    <t>77.799.372-0</t>
  </si>
  <si>
    <t>5752-3-CM25</t>
  </si>
  <si>
    <t>Compra de pasaje nacional Castro - Santaigo para Christian Anker</t>
  </si>
  <si>
    <t>5752-2-CM25</t>
  </si>
  <si>
    <t>Compra de pasaje nacional Santiago - Puerto Montt para Christian Anker</t>
  </si>
  <si>
    <t>5752-1-CM25</t>
  </si>
  <si>
    <t>Compra de pasaje nacional a Santiago - Iquique - Santiago para Presidente del Consejo.</t>
  </si>
  <si>
    <t>$</t>
  </si>
  <si>
    <t>5752-18-AG25</t>
  </si>
  <si>
    <t>Disco duro para storage DELL SC4020</t>
  </si>
  <si>
    <t>CCIEXPRESS SERVICIOS TECNOLOGICOS SPA</t>
  </si>
  <si>
    <t>77.414.781-0</t>
  </si>
  <si>
    <t>5752-17-AG25</t>
  </si>
  <si>
    <t>Orden de Compra generada por invitación a compra ágil: 5752-5-COT25</t>
  </si>
  <si>
    <t>FLEX SSS SPA</t>
  </si>
  <si>
    <t>76.992.701-8</t>
  </si>
  <si>
    <t>5752-16-SE25</t>
  </si>
  <si>
    <t>Plataforma Tecnológica, operación, soporte y mant.</t>
  </si>
  <si>
    <t>GUADALTEL CHILE SERVICIOS DE INFORMACION LIMITADA</t>
  </si>
  <si>
    <t>76.108.701-0</t>
  </si>
  <si>
    <t>5752-14-AG25</t>
  </si>
  <si>
    <t>Servicios de imprenta, confección de cuadernos corporativos CPLT.</t>
  </si>
  <si>
    <t>MULTIDISTRIBUIDORA SPA</t>
  </si>
  <si>
    <t>77.577.732-K</t>
  </si>
  <si>
    <t>Sumatoria Febrero</t>
  </si>
  <si>
    <t>Total % Meta</t>
  </si>
  <si>
    <t>Sumatoria Marzo</t>
  </si>
  <si>
    <t>5752-36-CM25</t>
  </si>
  <si>
    <t>Pasaje aéreo Nacional Santiago-Arica</t>
  </si>
  <si>
    <t>5752-35-CM25</t>
  </si>
  <si>
    <t>Pasaje aéreo Nacional Iquique-Santiago</t>
  </si>
  <si>
    <t>5752-31-CM25</t>
  </si>
  <si>
    <t>Pasaje aéreo Nacional Santiago-Punta Arenas Ida y Vuelta</t>
  </si>
  <si>
    <t>5752-27-AG25</t>
  </si>
  <si>
    <t>Servicio de Alojamiento y servicios de alimentación, para invitados Seminario del mes de Abril del CPLT.</t>
  </si>
  <si>
    <t>SOMNUS SPA</t>
  </si>
  <si>
    <t>76.490.371-4</t>
  </si>
  <si>
    <t>5752-26-CM25</t>
  </si>
  <si>
    <t>Pasaje aéreo Nacional Santiago-Antofagasta Ida y Vuelta</t>
  </si>
  <si>
    <t>5752-24-AG25</t>
  </si>
  <si>
    <t>Compra equipo Telefónico Iphone 16 pro máx. 256 GB.</t>
  </si>
  <si>
    <t>COMERCIAL ULTIGIZ CHILE SPA</t>
  </si>
  <si>
    <t>77.239.599-K</t>
  </si>
  <si>
    <t>5752-23-AG25</t>
  </si>
  <si>
    <t>Compra pasaje aéreo internacional (México) y seguro de asistencia en viaje</t>
  </si>
  <si>
    <t>INVERSIONES Y SERVICIOS CORDERO SPA</t>
  </si>
  <si>
    <t>76.882.864-4</t>
  </si>
  <si>
    <t>5752-22-AG25</t>
  </si>
  <si>
    <t>Servicio de mantención preventiva climatizadores de Data Center por 24 meses</t>
  </si>
  <si>
    <t>SERVICIOS DE MANTENIMIENTO INSTAPLAN LIMITADA</t>
  </si>
  <si>
    <t>76.094.285-5</t>
  </si>
  <si>
    <t>5752-21-AG25</t>
  </si>
  <si>
    <t>Compra pasaje aéreo internacional y seguro de asistencia en viaje</t>
  </si>
  <si>
    <t>WORLD TRAVELLER SPA</t>
  </si>
  <si>
    <t>77.007.958-6</t>
  </si>
  <si>
    <t>5752-20-AG25</t>
  </si>
  <si>
    <t>35 horas profesionales para soporte y mejoras evolutivas a implementación de Dynamics 365</t>
  </si>
  <si>
    <t>BEARDMEN NEGOCIOS DIGITALES SPA</t>
  </si>
  <si>
    <t>76.260.217-2</t>
  </si>
  <si>
    <t>UTM</t>
  </si>
  <si>
    <t>Decreto Hacienda</t>
  </si>
  <si>
    <t>Subtítulo 21 Gasto en Personas</t>
  </si>
  <si>
    <t>Subtítulo 22 Gasto en bienes y servicios</t>
  </si>
  <si>
    <t>Sumatoria Abril</t>
  </si>
  <si>
    <t>5752-48-CM25</t>
  </si>
  <si>
    <t>Pasaje aéreo Nacional Santiago-Temuco Ida y Vuelta</t>
  </si>
  <si>
    <t>5752-47-AG25</t>
  </si>
  <si>
    <t>Servicio de arriendo de vehículo</t>
  </si>
  <si>
    <t>AUTORENTAS DEL PACIFICO SPA</t>
  </si>
  <si>
    <t>83.547.100-4</t>
  </si>
  <si>
    <t>5752-46-SE25</t>
  </si>
  <si>
    <t>Servicio de arriendo, mantención y reposición de equipos de impresión</t>
  </si>
  <si>
    <t>COMERCIAL TECNOLÓGICO SPA</t>
  </si>
  <si>
    <t>76.460.521-7</t>
  </si>
  <si>
    <t>5752-45-AG25</t>
  </si>
  <si>
    <t>Adquisición de disco duro para storage DELL SC5020</t>
  </si>
  <si>
    <t>5752-44-AG25</t>
  </si>
  <si>
    <t>Evaluación técnica/comercial de alternativas de mejoras al sistema eléctrico de Data Center</t>
  </si>
  <si>
    <t>CLOUDENERGY SPA</t>
  </si>
  <si>
    <t>77.180.663-5</t>
  </si>
  <si>
    <t>5752-43-TD25</t>
  </si>
  <si>
    <t>Orden de Compra generada por Trato Directo ID 5752-1-FTD25</t>
  </si>
  <si>
    <t>JAIME MANUEL MARMOR ABARCA</t>
  </si>
  <si>
    <t>7.554.460-k</t>
  </si>
  <si>
    <t>5752-42-AG25</t>
  </si>
  <si>
    <t>Servicio de Arriendo e instalación de UPS</t>
  </si>
  <si>
    <t>SELECOM COMUNICACIONES Y ENERGIA LIMITADA</t>
  </si>
  <si>
    <t>76.593.280-7</t>
  </si>
  <si>
    <t>5752-40-SE25</t>
  </si>
  <si>
    <t>servicio de suministro de pasajes aéreos internacionales</t>
  </si>
  <si>
    <t>TRAVEL SECURITY S.A.</t>
  </si>
  <si>
    <t>85.633.900-9</t>
  </si>
  <si>
    <t>5752-39-AG25</t>
  </si>
  <si>
    <t>Adquisición de Licencias Chat GPT Premium y Créditos API Chat GPT</t>
  </si>
  <si>
    <t>IMPACTE SPA</t>
  </si>
  <si>
    <t>76.572.009-5</t>
  </si>
  <si>
    <t>5752-37-AG25</t>
  </si>
  <si>
    <t>Servicio de Coffee break en la ciudad de Santiago, Seminario Anual CPLT. .</t>
  </si>
  <si>
    <t>VIVIAN ANGELICA DEL PILAR DE LA FUENTE ALACID</t>
  </si>
  <si>
    <t>13.104.370-8</t>
  </si>
  <si>
    <t>Licitación</t>
  </si>
  <si>
    <t>5752-64-CM25</t>
  </si>
  <si>
    <t>Pasaje aéreo Nacional Santiago-La Serena Ida y Vuelta</t>
  </si>
  <si>
    <t>5752-63-AG25</t>
  </si>
  <si>
    <t>Compra de materiales de aseo para el CPLT.</t>
  </si>
  <si>
    <t>COMERCIAL FASIT LIMITADA</t>
  </si>
  <si>
    <t>76.607.224-0</t>
  </si>
  <si>
    <t>5752-62-AG25</t>
  </si>
  <si>
    <t>Servicio de Coffee break en la ciudad de Santiago</t>
  </si>
  <si>
    <t>5752-60-AG25</t>
  </si>
  <si>
    <t>Servicio de Coffee Break en la ciudad de Melipilla</t>
  </si>
  <si>
    <t>SERVICIOS GENERALES CAM LIMITADA</t>
  </si>
  <si>
    <t>77.804.706-3</t>
  </si>
  <si>
    <t>5752-59-AG25</t>
  </si>
  <si>
    <t>Compra de Medallas con logo del Consejo para la Transparencia</t>
  </si>
  <si>
    <t>MILLED CHILE S.A.</t>
  </si>
  <si>
    <t>76.607.211-9</t>
  </si>
  <si>
    <t>5752-58-AG25</t>
  </si>
  <si>
    <t>Servicio telefonía móvil y BAM con equipos telefónicos incluidos</t>
  </si>
  <si>
    <t>CLARO CHILE SPA</t>
  </si>
  <si>
    <t>96.799.250-k</t>
  </si>
  <si>
    <t>5752-57-AG25</t>
  </si>
  <si>
    <t>Servicio de Coffee Break en la ciudad de Punta Arenas</t>
  </si>
  <si>
    <t>SERVICIOS JOHANA FLEMING OPAZO E.I.R.L.</t>
  </si>
  <si>
    <t>77.631.011-5</t>
  </si>
  <si>
    <t>5752-56-AG25</t>
  </si>
  <si>
    <t>Servicio de Coffee Break en la ciudad de San Fernando</t>
  </si>
  <si>
    <t>EVENTOS CORREA Y SAAVEDRA LIMITADA</t>
  </si>
  <si>
    <t>77.480.265-7</t>
  </si>
  <si>
    <t>5752-55-AG25</t>
  </si>
  <si>
    <t>Servicio de Coffee Break en la ciudad de Coquimbo</t>
  </si>
  <si>
    <t>COMERCIALIZADORA MBG SPA</t>
  </si>
  <si>
    <t>77.929.986-4</t>
  </si>
  <si>
    <t>5752-54-CM25</t>
  </si>
  <si>
    <t>Pasaje aéreo Nacional Santiago-Puerto Natales Ida</t>
  </si>
  <si>
    <t>5752-53-CM25</t>
  </si>
  <si>
    <t>Pasaje aéreo Nacional Punta Arenas-Santiago Ida</t>
  </si>
  <si>
    <t>5752-50-CM25</t>
  </si>
  <si>
    <t>5752-49-CM25</t>
  </si>
  <si>
    <t>Sumatoria Mayo</t>
  </si>
  <si>
    <t>5752-61-TD25</t>
  </si>
  <si>
    <t>Orden de Compra generada por Trato Directo ID 5752-2-FTD25</t>
  </si>
  <si>
    <t>EMPRESA DE CORREOS DE CHILE</t>
  </si>
  <si>
    <t>60.503.000-9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</si>
</sst>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dd/mm/yyyy;@"/>
    <numFmt numFmtId="166" formatCode="_ * #,##0.00_ ;_ * \-#,##0.00_ ;_ * &quot;-&quot;_ ;_ @_ "/>
    <numFmt numFmtId="167" formatCode="0.0%"/>
    <numFmt numFmtId="168" formatCode="#,##0.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Book Antiqua"/>
      <family val="1"/>
    </font>
    <font>
      <b/>
      <sz val="9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Verdana"/>
      <family val="2"/>
    </font>
    <font>
      <sz val="8"/>
      <color theme="1"/>
      <name val="Book Antiqua"/>
      <family val="1"/>
    </font>
    <font>
      <sz val="11"/>
      <color theme="1"/>
      <name val="Aptos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0"/>
      <name val="Book Antiqua"/>
      <family val="1"/>
    </font>
  </fonts>
  <fills count="4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0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8" borderId="6" applyNumberFormat="0" applyAlignment="0" applyProtection="0"/>
    <xf numFmtId="0" fontId="11" fillId="9" borderId="7" applyNumberFormat="0" applyAlignment="0" applyProtection="0"/>
    <xf numFmtId="0" fontId="12" fillId="9" borderId="6" applyNumberFormat="0" applyAlignment="0" applyProtection="0"/>
    <xf numFmtId="0" fontId="13" fillId="0" borderId="8" applyNumberFormat="0" applyFill="0" applyAlignment="0" applyProtection="0"/>
    <xf numFmtId="0" fontId="14" fillId="10" borderId="9" applyNumberFormat="0" applyAlignment="0" applyProtection="0"/>
    <xf numFmtId="0" fontId="15" fillId="0" borderId="0" applyNumberFormat="0" applyFill="0" applyBorder="0" applyAlignment="0" applyProtection="0"/>
    <xf numFmtId="0" fontId="1" fillId="11" borderId="10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9" fillId="0" borderId="0"/>
    <xf numFmtId="0" fontId="20" fillId="0" borderId="0"/>
    <xf numFmtId="0" fontId="2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42" fontId="1" fillId="0" borderId="0" applyFont="0" applyFill="0" applyBorder="0" applyAlignment="0" applyProtection="0"/>
  </cellStyleXfs>
  <cellXfs count="90">
    <xf numFmtId="0" fontId="0" fillId="0" borderId="0" xfId="0"/>
    <xf numFmtId="0" fontId="22" fillId="0" borderId="0" xfId="0" applyFont="1"/>
    <xf numFmtId="0" fontId="23" fillId="0" borderId="1" xfId="0" applyFont="1" applyBorder="1" applyAlignment="1">
      <alignment vertical="center" wrapText="1"/>
    </xf>
    <xf numFmtId="41" fontId="22" fillId="0" borderId="1" xfId="1" applyFont="1" applyBorder="1" applyAlignment="1">
      <alignment vertical="center" wrapText="1"/>
    </xf>
    <xf numFmtId="10" fontId="22" fillId="0" borderId="1" xfId="2" applyNumberFormat="1" applyFont="1" applyBorder="1" applyAlignment="1">
      <alignment vertical="center" wrapText="1"/>
    </xf>
    <xf numFmtId="10" fontId="22" fillId="0" borderId="1" xfId="2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1" fontId="22" fillId="0" borderId="1" xfId="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0" fontId="27" fillId="2" borderId="1" xfId="0" applyFont="1" applyFill="1" applyBorder="1"/>
    <xf numFmtId="17" fontId="27" fillId="2" borderId="1" xfId="0" applyNumberFormat="1" applyFont="1" applyFill="1" applyBorder="1" applyAlignment="1">
      <alignment horizontal="center"/>
    </xf>
    <xf numFmtId="0" fontId="27" fillId="0" borderId="1" xfId="0" applyFont="1" applyBorder="1"/>
    <xf numFmtId="0" fontId="27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41" fontId="27" fillId="4" borderId="1" xfId="49" applyFont="1" applyFill="1" applyBorder="1" applyAlignment="1">
      <alignment horizontal="left"/>
    </xf>
    <xf numFmtId="41" fontId="27" fillId="4" borderId="1" xfId="49" applyFont="1" applyFill="1" applyBorder="1" applyAlignment="1">
      <alignment horizontal="center"/>
    </xf>
    <xf numFmtId="41" fontId="27" fillId="4" borderId="1" xfId="1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41" fontId="27" fillId="0" borderId="1" xfId="1" applyFont="1" applyBorder="1"/>
    <xf numFmtId="41" fontId="27" fillId="0" borderId="0" xfId="0" applyNumberFormat="1" applyFont="1"/>
    <xf numFmtId="3" fontId="27" fillId="0" borderId="0" xfId="0" applyNumberFormat="1" applyFont="1"/>
    <xf numFmtId="41" fontId="27" fillId="0" borderId="1" xfId="1" applyFont="1" applyFill="1" applyBorder="1" applyAlignment="1">
      <alignment horizontal="left"/>
    </xf>
    <xf numFmtId="10" fontId="27" fillId="0" borderId="0" xfId="2" applyNumberFormat="1" applyFont="1"/>
    <xf numFmtId="10" fontId="26" fillId="4" borderId="1" xfId="2" applyNumberFormat="1" applyFont="1" applyFill="1" applyBorder="1" applyAlignment="1">
      <alignment horizontal="center"/>
    </xf>
    <xf numFmtId="41" fontId="22" fillId="0" borderId="1" xfId="0" applyNumberFormat="1" applyFont="1" applyBorder="1" applyAlignment="1">
      <alignment vertical="center" wrapText="1"/>
    </xf>
    <xf numFmtId="41" fontId="26" fillId="0" borderId="1" xfId="0" applyNumberFormat="1" applyFont="1" applyBorder="1"/>
    <xf numFmtId="9" fontId="27" fillId="0" borderId="0" xfId="2" applyFont="1"/>
    <xf numFmtId="0" fontId="0" fillId="0" borderId="12" xfId="0" applyBorder="1"/>
    <xf numFmtId="0" fontId="0" fillId="0" borderId="14" xfId="0" applyBorder="1"/>
    <xf numFmtId="3" fontId="0" fillId="0" borderId="12" xfId="0" applyNumberFormat="1" applyBorder="1"/>
    <xf numFmtId="0" fontId="33" fillId="0" borderId="1" xfId="0" applyFont="1" applyBorder="1" applyAlignment="1">
      <alignment horizontal="center"/>
    </xf>
    <xf numFmtId="0" fontId="36" fillId="0" borderId="0" xfId="0" applyFont="1"/>
    <xf numFmtId="42" fontId="36" fillId="0" borderId="0" xfId="0" applyNumberFormat="1" applyFont="1"/>
    <xf numFmtId="0" fontId="38" fillId="3" borderId="2" xfId="0" applyFont="1" applyFill="1" applyBorder="1" applyAlignment="1">
      <alignment horizontal="center" wrapText="1"/>
    </xf>
    <xf numFmtId="0" fontId="38" fillId="4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41" fontId="26" fillId="4" borderId="1" xfId="1" applyFont="1" applyFill="1" applyBorder="1" applyAlignment="1">
      <alignment horizontal="center"/>
    </xf>
    <xf numFmtId="0" fontId="39" fillId="4" borderId="1" xfId="0" applyFont="1" applyFill="1" applyBorder="1" applyAlignment="1">
      <alignment wrapText="1"/>
    </xf>
    <xf numFmtId="0" fontId="39" fillId="4" borderId="1" xfId="0" applyFont="1" applyFill="1" applyBorder="1" applyAlignment="1">
      <alignment horizontal="left"/>
    </xf>
    <xf numFmtId="0" fontId="32" fillId="4" borderId="1" xfId="0" applyFont="1" applyFill="1" applyBorder="1" applyAlignment="1">
      <alignment horizontal="left"/>
    </xf>
    <xf numFmtId="0" fontId="39" fillId="4" borderId="1" xfId="0" applyFont="1" applyFill="1" applyBorder="1"/>
    <xf numFmtId="165" fontId="39" fillId="4" borderId="1" xfId="0" applyNumberFormat="1" applyFont="1" applyFill="1" applyBorder="1" applyAlignment="1">
      <alignment wrapText="1"/>
    </xf>
    <xf numFmtId="3" fontId="39" fillId="4" borderId="1" xfId="0" applyNumberFormat="1" applyFont="1" applyFill="1" applyBorder="1" applyAlignment="1">
      <alignment wrapText="1"/>
    </xf>
    <xf numFmtId="3" fontId="39" fillId="4" borderId="1" xfId="0" applyNumberFormat="1" applyFont="1" applyFill="1" applyBorder="1"/>
    <xf numFmtId="0" fontId="40" fillId="3" borderId="15" xfId="0" applyFont="1" applyFill="1" applyBorder="1" applyAlignment="1">
      <alignment horizontal="center" wrapText="1"/>
    </xf>
    <xf numFmtId="3" fontId="37" fillId="37" borderId="13" xfId="0" applyNumberFormat="1" applyFont="1" applyFill="1" applyBorder="1"/>
    <xf numFmtId="3" fontId="37" fillId="36" borderId="0" xfId="0" applyNumberFormat="1" applyFont="1" applyFill="1"/>
    <xf numFmtId="0" fontId="37" fillId="36" borderId="0" xfId="0" applyFont="1" applyFill="1"/>
    <xf numFmtId="0" fontId="37" fillId="37" borderId="12" xfId="0" applyFont="1" applyFill="1" applyBorder="1"/>
    <xf numFmtId="42" fontId="27" fillId="4" borderId="1" xfId="59" applyFont="1" applyFill="1" applyBorder="1" applyAlignment="1">
      <alignment horizontal="center"/>
    </xf>
    <xf numFmtId="42" fontId="26" fillId="4" borderId="1" xfId="59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42" fontId="26" fillId="0" borderId="1" xfId="59" applyFont="1" applyBorder="1" applyAlignment="1">
      <alignment horizontal="center"/>
    </xf>
    <xf numFmtId="41" fontId="41" fillId="38" borderId="0" xfId="1" applyFont="1" applyFill="1"/>
    <xf numFmtId="3" fontId="2" fillId="37" borderId="13" xfId="0" applyNumberFormat="1" applyFont="1" applyFill="1" applyBorder="1"/>
    <xf numFmtId="0" fontId="2" fillId="37" borderId="12" xfId="0" applyFont="1" applyFill="1" applyBorder="1"/>
    <xf numFmtId="10" fontId="26" fillId="4" borderId="0" xfId="2" applyNumberFormat="1" applyFont="1" applyFill="1" applyBorder="1" applyAlignment="1">
      <alignment horizontal="center"/>
    </xf>
    <xf numFmtId="41" fontId="26" fillId="4" borderId="1" xfId="2" applyNumberFormat="1" applyFont="1" applyFill="1" applyBorder="1" applyAlignment="1">
      <alignment horizontal="center"/>
    </xf>
    <xf numFmtId="166" fontId="27" fillId="0" borderId="0" xfId="0" applyNumberFormat="1" applyFont="1"/>
    <xf numFmtId="0" fontId="43" fillId="39" borderId="0" xfId="0" applyFont="1" applyFill="1" applyAlignment="1">
      <alignment vertical="center"/>
    </xf>
    <xf numFmtId="0" fontId="42" fillId="0" borderId="0" xfId="0" applyFont="1" applyAlignment="1">
      <alignment vertical="center" wrapText="1"/>
    </xf>
    <xf numFmtId="0" fontId="44" fillId="40" borderId="1" xfId="0" applyFont="1" applyFill="1" applyBorder="1" applyAlignment="1">
      <alignment vertical="center"/>
    </xf>
    <xf numFmtId="0" fontId="44" fillId="4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4" fillId="41" borderId="1" xfId="0" applyFont="1" applyFill="1" applyBorder="1" applyAlignment="1">
      <alignment horizontal="center" vertical="center"/>
    </xf>
    <xf numFmtId="0" fontId="43" fillId="41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/>
    <xf numFmtId="41" fontId="45" fillId="0" borderId="0" xfId="1" applyFont="1"/>
    <xf numFmtId="167" fontId="17" fillId="0" borderId="0" xfId="2" applyNumberFormat="1" applyFont="1"/>
    <xf numFmtId="3" fontId="45" fillId="0" borderId="0" xfId="0" applyNumberFormat="1" applyFont="1" applyAlignment="1">
      <alignment horizontal="right" vertical="center"/>
    </xf>
    <xf numFmtId="0" fontId="17" fillId="0" borderId="0" xfId="0" applyFont="1"/>
    <xf numFmtId="1" fontId="17" fillId="0" borderId="0" xfId="0" applyNumberFormat="1" applyFont="1"/>
    <xf numFmtId="41" fontId="45" fillId="0" borderId="0" xfId="0" applyNumberFormat="1" applyFont="1"/>
    <xf numFmtId="0" fontId="22" fillId="0" borderId="0" xfId="0" applyFont="1" applyAlignment="1">
      <alignment vertical="center"/>
    </xf>
    <xf numFmtId="3" fontId="36" fillId="0" borderId="0" xfId="0" applyNumberFormat="1" applyFont="1"/>
    <xf numFmtId="0" fontId="37" fillId="37" borderId="14" xfId="0" applyFont="1" applyFill="1" applyBorder="1"/>
    <xf numFmtId="3" fontId="37" fillId="37" borderId="12" xfId="0" applyNumberFormat="1" applyFont="1" applyFill="1" applyBorder="1"/>
    <xf numFmtId="0" fontId="36" fillId="0" borderId="14" xfId="0" applyFont="1" applyBorder="1"/>
    <xf numFmtId="0" fontId="36" fillId="0" borderId="12" xfId="0" applyFont="1" applyBorder="1"/>
    <xf numFmtId="3" fontId="36" fillId="0" borderId="12" xfId="0" applyNumberFormat="1" applyFont="1" applyBorder="1"/>
    <xf numFmtId="3" fontId="36" fillId="0" borderId="13" xfId="0" applyNumberFormat="1" applyFont="1" applyBorder="1"/>
    <xf numFmtId="0" fontId="44" fillId="42" borderId="1" xfId="0" applyFont="1" applyFill="1" applyBorder="1" applyAlignment="1">
      <alignment vertical="center"/>
    </xf>
    <xf numFmtId="10" fontId="43" fillId="42" borderId="1" xfId="2" applyNumberFormat="1" applyFont="1" applyFill="1" applyBorder="1" applyAlignment="1">
      <alignment horizontal="center" vertical="center"/>
    </xf>
    <xf numFmtId="168" fontId="39" fillId="4" borderId="1" xfId="0" applyNumberFormat="1" applyFont="1" applyFill="1" applyBorder="1" applyAlignment="1">
      <alignment wrapText="1"/>
    </xf>
    <xf numFmtId="42" fontId="39" fillId="4" borderId="1" xfId="59" applyFont="1" applyFill="1" applyBorder="1"/>
    <xf numFmtId="41" fontId="27" fillId="0" borderId="0" xfId="1" applyFont="1"/>
    <xf numFmtId="0" fontId="43" fillId="0" borderId="0" xfId="0" applyFont="1" applyAlignment="1">
      <alignment vertical="center"/>
    </xf>
  </cellXfs>
  <cellStyles count="60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0" builtinId="20" customBuiltin="1"/>
    <cellStyle name="Incorrecto" xfId="9" builtinId="27" customBuiltin="1"/>
    <cellStyle name="Millares [0]" xfId="1" builtinId="6"/>
    <cellStyle name="Millares [0] 2" xfId="37" xr:uid="{00000000-0005-0000-0000-000021000000}"/>
    <cellStyle name="Millares [0] 2 2" xfId="51" xr:uid="{8EB0F839-B755-41A0-A585-D39AF55DA626}"/>
    <cellStyle name="Millares [0] 3" xfId="49" xr:uid="{780A76E1-C01B-4737-B99F-0883DE7FF88B}"/>
    <cellStyle name="Moneda [0]" xfId="59" builtinId="7"/>
    <cellStyle name="Moneda [0] 2" xfId="50" xr:uid="{2FCF3052-2771-4935-883A-38309F4B8E88}"/>
    <cellStyle name="Moneda 2" xfId="38" xr:uid="{00000000-0005-0000-0000-000024000000}"/>
    <cellStyle name="Neutral 2" xfId="39" xr:uid="{00000000-0005-0000-0000-000025000000}"/>
    <cellStyle name="Normal" xfId="0" builtinId="0"/>
    <cellStyle name="Normal 10" xfId="58" xr:uid="{75FA7CDF-D6C7-461B-A9D2-4A34243DDC8C}"/>
    <cellStyle name="Normal 2" xfId="46" xr:uid="{00000000-0005-0000-0000-000027000000}"/>
    <cellStyle name="Normal 3" xfId="47" xr:uid="{00000000-0005-0000-0000-000028000000}"/>
    <cellStyle name="Normal 3 2" xfId="52" xr:uid="{DCCF52E6-7957-461A-95E6-7677D3F8CB62}"/>
    <cellStyle name="Normal 4" xfId="48" xr:uid="{B1A0FEBE-2CFF-411D-ADA0-2F857523B530}"/>
    <cellStyle name="Normal 5" xfId="53" xr:uid="{420EB464-6EC2-49E7-B8FA-62589C012D7E}"/>
    <cellStyle name="Normal 6" xfId="54" xr:uid="{4A87D451-E933-44DE-B57A-43FBD91A5130}"/>
    <cellStyle name="Normal 7" xfId="55" xr:uid="{077A61CE-EE00-4E72-954D-EB23F105D775}"/>
    <cellStyle name="Normal 8" xfId="56" xr:uid="{9CB74F41-5570-4888-8DD2-776BA35809C9}"/>
    <cellStyle name="Normal 9" xfId="57" xr:uid="{048205F3-7321-4729-89CF-124AAE1FCB4F}"/>
    <cellStyle name="Notas" xfId="16" builtinId="10" customBuiltin="1"/>
    <cellStyle name="Porcentaje" xfId="2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55"/>
  <sheetViews>
    <sheetView topLeftCell="A24" zoomScaleNormal="100" workbookViewId="0">
      <selection activeCell="G41" sqref="G41"/>
    </sheetView>
  </sheetViews>
  <sheetFormatPr baseColWidth="10" defaultColWidth="11.453125" defaultRowHeight="13" x14ac:dyDescent="0.3"/>
  <cols>
    <col min="1" max="1" width="11.453125" style="9" customWidth="1"/>
    <col min="2" max="2" width="32.453125" style="9" customWidth="1"/>
    <col min="3" max="3" width="12.7265625" style="9" bestFit="1" customWidth="1"/>
    <col min="4" max="4" width="12.453125" style="9" customWidth="1"/>
    <col min="5" max="5" width="14.81640625" style="9" customWidth="1"/>
    <col min="6" max="6" width="11.54296875" style="9" customWidth="1"/>
    <col min="7" max="7" width="13.81640625" style="9" customWidth="1"/>
    <col min="8" max="8" width="11.54296875" style="9" customWidth="1"/>
    <col min="9" max="9" width="13.81640625" style="9" customWidth="1"/>
    <col min="10" max="10" width="11.54296875" style="9" customWidth="1"/>
    <col min="11" max="11" width="12.81640625" style="9" customWidth="1"/>
    <col min="12" max="12" width="11.54296875" style="9" customWidth="1"/>
    <col min="13" max="13" width="13" style="9" customWidth="1"/>
    <col min="14" max="14" width="11.54296875" style="9" customWidth="1"/>
    <col min="15" max="15" width="13.81640625" style="9" customWidth="1"/>
    <col min="16" max="16" width="11.453125" style="9"/>
    <col min="17" max="17" width="12.7265625" style="9" bestFit="1" customWidth="1"/>
    <col min="18" max="18" width="11.453125" style="9"/>
    <col min="19" max="19" width="12.7265625" style="9" bestFit="1" customWidth="1"/>
    <col min="20" max="20" width="13.1796875" style="9" bestFit="1" customWidth="1"/>
    <col min="21" max="21" width="12.7265625" style="9" bestFit="1" customWidth="1"/>
    <col min="22" max="22" width="13.1796875" style="9" bestFit="1" customWidth="1"/>
    <col min="23" max="23" width="12.7265625" style="9" bestFit="1" customWidth="1"/>
    <col min="24" max="24" width="12.81640625" style="9" bestFit="1" customWidth="1"/>
    <col min="25" max="25" width="12.7265625" style="9" bestFit="1" customWidth="1"/>
    <col min="26" max="26" width="12.26953125" style="9" bestFit="1" customWidth="1"/>
    <col min="27" max="16384" width="11.453125" style="9"/>
  </cols>
  <sheetData>
    <row r="2" spans="2:15" x14ac:dyDescent="0.3">
      <c r="B2" s="89" t="s">
        <v>67</v>
      </c>
      <c r="C2" s="89"/>
    </row>
    <row r="3" spans="2:15" ht="14.5" x14ac:dyDescent="0.3">
      <c r="B3" s="61" t="s">
        <v>68</v>
      </c>
      <c r="C3" s="62"/>
    </row>
    <row r="4" spans="2:15" x14ac:dyDescent="0.3">
      <c r="B4" s="63" t="s">
        <v>69</v>
      </c>
      <c r="C4" s="64" t="s">
        <v>24</v>
      </c>
      <c r="D4" s="64" t="s">
        <v>25</v>
      </c>
      <c r="E4" s="64" t="s">
        <v>28</v>
      </c>
      <c r="F4" s="64" t="s">
        <v>29</v>
      </c>
      <c r="G4" s="64" t="s">
        <v>31</v>
      </c>
      <c r="H4" s="64" t="s">
        <v>32</v>
      </c>
      <c r="I4" s="64" t="s">
        <v>38</v>
      </c>
      <c r="J4" s="64" t="s">
        <v>39</v>
      </c>
      <c r="K4" s="64" t="s">
        <v>40</v>
      </c>
      <c r="L4" s="64" t="s">
        <v>41</v>
      </c>
      <c r="M4" s="64" t="s">
        <v>42</v>
      </c>
      <c r="N4" s="64" t="s">
        <v>43</v>
      </c>
      <c r="O4" s="64" t="s">
        <v>26</v>
      </c>
    </row>
    <row r="5" spans="2:15" x14ac:dyDescent="0.3">
      <c r="B5" s="65" t="s">
        <v>70</v>
      </c>
      <c r="C5" s="66">
        <v>0</v>
      </c>
      <c r="D5" s="66">
        <v>0</v>
      </c>
      <c r="E5" s="66">
        <v>0</v>
      </c>
      <c r="F5" s="66">
        <v>0</v>
      </c>
      <c r="G5" s="66">
        <v>0</v>
      </c>
      <c r="H5" s="66"/>
      <c r="I5" s="66"/>
      <c r="J5" s="66"/>
      <c r="K5" s="66"/>
      <c r="L5" s="66"/>
      <c r="M5" s="66"/>
      <c r="N5" s="66"/>
      <c r="O5" s="67">
        <f>SUM(C5:N5)</f>
        <v>0</v>
      </c>
    </row>
    <row r="6" spans="2:15" x14ac:dyDescent="0.3">
      <c r="B6" s="65" t="s">
        <v>71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66"/>
      <c r="I6" s="66"/>
      <c r="J6" s="66"/>
      <c r="K6" s="66"/>
      <c r="L6" s="66"/>
      <c r="M6" s="66"/>
      <c r="N6" s="66"/>
      <c r="O6" s="67">
        <f>SUM(C6:N6)</f>
        <v>0</v>
      </c>
    </row>
    <row r="7" spans="2:15" x14ac:dyDescent="0.3">
      <c r="B7" s="65" t="s">
        <v>18</v>
      </c>
      <c r="C7" s="68">
        <f>SUM(C5:C6)</f>
        <v>0</v>
      </c>
      <c r="D7" s="68">
        <f>SUM(D5:D6)</f>
        <v>0</v>
      </c>
      <c r="E7" s="68">
        <f>SUM(E5:E6)</f>
        <v>0</v>
      </c>
      <c r="F7" s="68">
        <f>SUM(F5:F6)</f>
        <v>0</v>
      </c>
      <c r="G7" s="68">
        <f>SUM(G5:G6)</f>
        <v>0</v>
      </c>
      <c r="H7" s="68"/>
      <c r="I7" s="68"/>
      <c r="J7" s="68"/>
      <c r="K7" s="68"/>
      <c r="L7" s="68"/>
      <c r="M7" s="68"/>
      <c r="N7" s="68"/>
      <c r="O7" s="67">
        <f>SUM(O5:O6)</f>
        <v>0</v>
      </c>
    </row>
    <row r="8" spans="2:15" x14ac:dyDescent="0.3">
      <c r="B8" s="84" t="s">
        <v>126</v>
      </c>
      <c r="C8" s="85">
        <f>+C7/C17</f>
        <v>0</v>
      </c>
      <c r="D8" s="85">
        <f>+D7/D17</f>
        <v>0</v>
      </c>
      <c r="E8" s="85">
        <f>+E7/E17</f>
        <v>0</v>
      </c>
      <c r="F8" s="85">
        <f>+F7/F17</f>
        <v>0</v>
      </c>
      <c r="G8" s="85">
        <f>+G7/G17</f>
        <v>0</v>
      </c>
      <c r="H8" s="85"/>
      <c r="I8" s="85"/>
      <c r="J8" s="85"/>
      <c r="K8" s="85"/>
      <c r="L8" s="85"/>
      <c r="M8" s="85"/>
      <c r="N8" s="85"/>
      <c r="O8" s="85">
        <f>+O7/O17</f>
        <v>0</v>
      </c>
    </row>
    <row r="10" spans="2:15" x14ac:dyDescent="0.3">
      <c r="B10" s="8" t="s">
        <v>16</v>
      </c>
    </row>
    <row r="11" spans="2:15" x14ac:dyDescent="0.3">
      <c r="B11" s="10" t="s">
        <v>17</v>
      </c>
      <c r="C11" s="11" t="s">
        <v>24</v>
      </c>
      <c r="D11" s="11" t="s">
        <v>25</v>
      </c>
      <c r="E11" s="11" t="s">
        <v>28</v>
      </c>
      <c r="F11" s="11" t="s">
        <v>29</v>
      </c>
      <c r="G11" s="11" t="s">
        <v>31</v>
      </c>
      <c r="H11" s="11" t="s">
        <v>32</v>
      </c>
      <c r="I11" s="11" t="s">
        <v>38</v>
      </c>
      <c r="J11" s="11" t="s">
        <v>39</v>
      </c>
      <c r="K11" s="11" t="s">
        <v>40</v>
      </c>
      <c r="L11" s="11" t="s">
        <v>41</v>
      </c>
      <c r="M11" s="11" t="s">
        <v>42</v>
      </c>
      <c r="N11" s="11" t="s">
        <v>43</v>
      </c>
      <c r="O11" s="11" t="s">
        <v>26</v>
      </c>
    </row>
    <row r="12" spans="2:15" x14ac:dyDescent="0.3">
      <c r="B12" s="12" t="s">
        <v>55</v>
      </c>
      <c r="C12" s="13">
        <f>COUNTIF('Compras Enero'!$D$2:$D$13,"Convenio Marco")</f>
        <v>8</v>
      </c>
      <c r="D12" s="13">
        <f>COUNTIF('Compras Febrero'!$D$2:$D$5,"Convenio Marco")</f>
        <v>0</v>
      </c>
      <c r="E12" s="13">
        <f>COUNTIF('Compras Marzo'!$D$2:$D$11,"Convenio Marco")</f>
        <v>4</v>
      </c>
      <c r="F12" s="13">
        <f>COUNTIF('Compras Abril'!$D$2:$D$11,"Convenio Marco")</f>
        <v>1</v>
      </c>
      <c r="G12" s="13">
        <f>COUNTIF('Compras Mayo'!$D$2:$D$15,"Convenio Marco")</f>
        <v>5</v>
      </c>
      <c r="H12" s="13"/>
      <c r="I12" s="13"/>
      <c r="J12" s="13"/>
      <c r="K12" s="13"/>
      <c r="L12" s="13"/>
      <c r="M12" s="13"/>
      <c r="N12" s="13"/>
      <c r="O12" s="14">
        <f>SUM(C12:N12)</f>
        <v>18</v>
      </c>
    </row>
    <row r="13" spans="2:15" x14ac:dyDescent="0.3">
      <c r="B13" s="12" t="s">
        <v>0</v>
      </c>
      <c r="C13" s="13">
        <f>COUNTIF('Compras Enero'!$D$2:$D$13,"Licitaciones")</f>
        <v>0</v>
      </c>
      <c r="D13" s="13">
        <f>COUNTIF('Compras Febrero'!$D$2:$D$5,"Licitaciones")</f>
        <v>0</v>
      </c>
      <c r="E13" s="13">
        <f>COUNTIF('Compras Marzo'!$D$2:$D$11,"Licitaciones")</f>
        <v>0</v>
      </c>
      <c r="F13" s="13">
        <f>COUNTIF('Compras Abril'!$D$2:$D$11,"Licitaciones")</f>
        <v>2</v>
      </c>
      <c r="G13" s="13">
        <f>COUNTIF('Compras Mayo'!$D$2:$D$15,"Licitaciones")</f>
        <v>0</v>
      </c>
      <c r="H13" s="13"/>
      <c r="I13" s="13"/>
      <c r="J13" s="13"/>
      <c r="K13" s="13"/>
      <c r="L13" s="13"/>
      <c r="M13" s="13"/>
      <c r="N13" s="13"/>
      <c r="O13" s="14">
        <f>SUM(C13:N13)</f>
        <v>2</v>
      </c>
    </row>
    <row r="14" spans="2:15" x14ac:dyDescent="0.3">
      <c r="B14" s="12" t="s">
        <v>27</v>
      </c>
      <c r="C14" s="13">
        <f>COUNTIF('Compras Enero'!$D$2:$D$13,"Trato Directo")</f>
        <v>0</v>
      </c>
      <c r="D14" s="13">
        <f>COUNTIF('Compras Febrero'!$D$2:$D$5,"Trato Directo")</f>
        <v>1</v>
      </c>
      <c r="E14" s="13">
        <f>COUNTIF('Compras Marzo'!$D$2:$D$11,"Trato Directo")</f>
        <v>0</v>
      </c>
      <c r="F14" s="13">
        <f>COUNTIF('Compras Abril'!$D$2:$D$11,"Trato Directo")</f>
        <v>1</v>
      </c>
      <c r="G14" s="13">
        <f>COUNTIF('Compras Mayo'!$D$2:$D$15,"Trato Directo")</f>
        <v>1</v>
      </c>
      <c r="H14" s="13"/>
      <c r="I14" s="13"/>
      <c r="J14" s="13"/>
      <c r="K14" s="13"/>
      <c r="L14" s="13"/>
      <c r="M14" s="13"/>
      <c r="N14" s="13"/>
      <c r="O14" s="14">
        <f t="shared" ref="O14:O16" si="0">SUM(C14:N14)</f>
        <v>3</v>
      </c>
    </row>
    <row r="15" spans="2:15" x14ac:dyDescent="0.3">
      <c r="B15" s="12" t="s">
        <v>57</v>
      </c>
      <c r="C15" s="13">
        <f>COUNTIF('Compras Enero'!$D$2:$D$13,"Compra Ágil")</f>
        <v>4</v>
      </c>
      <c r="D15" s="13">
        <f>COUNTIF('Compras Febrero'!$D$2:$D$5,"Compra Ágil")</f>
        <v>3</v>
      </c>
      <c r="E15" s="13">
        <f>COUNTIF('Compras Marzo'!$D$2:$D$11,"Compra Ágil")</f>
        <v>6</v>
      </c>
      <c r="F15" s="13">
        <f>COUNTIF('Compras Abril'!$D$2:$D$11,"Compra Ágil")</f>
        <v>6</v>
      </c>
      <c r="G15" s="13">
        <f>COUNTIF('Compras Mayo'!$D$2:$D$15,"Compra Ágil")</f>
        <v>8</v>
      </c>
      <c r="H15" s="13"/>
      <c r="I15" s="13"/>
      <c r="J15" s="13"/>
      <c r="K15" s="13"/>
      <c r="L15" s="13"/>
      <c r="M15" s="13"/>
      <c r="N15" s="13"/>
      <c r="O15" s="14">
        <f t="shared" si="0"/>
        <v>27</v>
      </c>
    </row>
    <row r="16" spans="2:15" x14ac:dyDescent="0.3">
      <c r="B16" s="12" t="s">
        <v>1</v>
      </c>
      <c r="C16" s="13">
        <f>COUNTIF('Compras Enero'!$D$2:$D$13,"Compras Coordinadas")</f>
        <v>0</v>
      </c>
      <c r="D16" s="13">
        <f>COUNTIF('Compras Febrero'!$D$2:$D$5,"Compras Coordinadas")</f>
        <v>0</v>
      </c>
      <c r="E16" s="13">
        <f>COUNTIF('Compras Marzo'!$D$2:$D$11,"Compras Coordinadas")</f>
        <v>0</v>
      </c>
      <c r="F16" s="13">
        <f>COUNTIF('Compras Abril'!$D$2:$D$11,"Compras Coordinadas")</f>
        <v>0</v>
      </c>
      <c r="G16" s="13">
        <f>COUNTIF('Compras Mayo'!$D$2:$D$15,"Compras Coordinadas")</f>
        <v>0</v>
      </c>
      <c r="H16" s="13"/>
      <c r="I16" s="13"/>
      <c r="J16" s="13"/>
      <c r="K16" s="13"/>
      <c r="L16" s="13"/>
      <c r="M16" s="13"/>
      <c r="N16" s="13"/>
      <c r="O16" s="14">
        <f t="shared" si="0"/>
        <v>0</v>
      </c>
    </row>
    <row r="17" spans="2:21" ht="14.5" x14ac:dyDescent="0.35">
      <c r="B17" s="12" t="s">
        <v>18</v>
      </c>
      <c r="C17" s="15">
        <f t="shared" ref="C17:I17" si="1">SUM(C12:C16)</f>
        <v>12</v>
      </c>
      <c r="D17" s="15">
        <f t="shared" si="1"/>
        <v>4</v>
      </c>
      <c r="E17" s="15">
        <f t="shared" si="1"/>
        <v>10</v>
      </c>
      <c r="F17" s="15">
        <f t="shared" si="1"/>
        <v>10</v>
      </c>
      <c r="G17" s="15">
        <f t="shared" si="1"/>
        <v>14</v>
      </c>
      <c r="H17" s="15">
        <f t="shared" si="1"/>
        <v>0</v>
      </c>
      <c r="I17" s="15">
        <f t="shared" si="1"/>
        <v>0</v>
      </c>
      <c r="J17" s="15">
        <f t="shared" ref="J17:K17" si="2">SUM(J12:J16)</f>
        <v>0</v>
      </c>
      <c r="K17" s="15">
        <f t="shared" si="2"/>
        <v>0</v>
      </c>
      <c r="L17" s="15">
        <f>SUM(L12:L16)</f>
        <v>0</v>
      </c>
      <c r="M17" s="32">
        <f>SUM(M12:M16)</f>
        <v>0</v>
      </c>
      <c r="N17" s="32">
        <f>SUM(N12:N16)</f>
        <v>0</v>
      </c>
      <c r="O17" s="14">
        <f>SUM(O12:O16)</f>
        <v>50</v>
      </c>
      <c r="P17" s="22">
        <f>+O17-'OC Acumulado'!U60</f>
        <v>0</v>
      </c>
      <c r="Q17"/>
      <c r="R17"/>
      <c r="S17"/>
      <c r="U17"/>
    </row>
    <row r="19" spans="2:21" x14ac:dyDescent="0.3">
      <c r="B19" s="8" t="s">
        <v>60</v>
      </c>
    </row>
    <row r="20" spans="2:21" x14ac:dyDescent="0.3">
      <c r="B20" s="10" t="s">
        <v>17</v>
      </c>
      <c r="C20" s="11" t="s">
        <v>24</v>
      </c>
      <c r="D20" s="11" t="s">
        <v>25</v>
      </c>
      <c r="E20" s="11" t="s">
        <v>28</v>
      </c>
      <c r="F20" s="11" t="s">
        <v>29</v>
      </c>
      <c r="G20" s="11" t="s">
        <v>31</v>
      </c>
      <c r="H20" s="11" t="s">
        <v>32</v>
      </c>
      <c r="I20" s="11" t="s">
        <v>38</v>
      </c>
      <c r="J20" s="11" t="s">
        <v>39</v>
      </c>
      <c r="K20" s="11" t="s">
        <v>40</v>
      </c>
      <c r="L20" s="11" t="s">
        <v>41</v>
      </c>
      <c r="M20" s="11" t="s">
        <v>42</v>
      </c>
      <c r="N20" s="11" t="s">
        <v>43</v>
      </c>
      <c r="O20" s="11" t="s">
        <v>26</v>
      </c>
    </row>
    <row r="21" spans="2:21" x14ac:dyDescent="0.3">
      <c r="B21" s="12" t="s">
        <v>55</v>
      </c>
      <c r="C21" s="51">
        <f>SUMIFS('Compras Enero'!$S$2:$S$13,'Compras Enero'!$D$2:$D$13,"Convenio Marco")</f>
        <v>805169</v>
      </c>
      <c r="D21" s="51">
        <f>SUMIFS('Compras Febrero'!$S$2:$S$5,'Compras Febrero'!$D$2:$D$5,"Convenio Marco")</f>
        <v>0</v>
      </c>
      <c r="E21" s="51">
        <f>SUMIFS('Compras Marzo'!$S$2:$S$11,'Compras Marzo'!$D$2:$D$11,"Convenio Marco")</f>
        <v>683188</v>
      </c>
      <c r="F21" s="51">
        <f>SUMIFS('Compras Abril'!$S$2:$S$11,'Compras Abril'!$D$2:$D$11,"Convenio Marco")</f>
        <v>173319</v>
      </c>
      <c r="G21" s="51">
        <f>SUMIFS('Compras Mayo'!$S$2:$S$15,'Compras Mayo'!$D$2:$D$15,"Convenio Marco")</f>
        <v>980434</v>
      </c>
      <c r="H21" s="51"/>
      <c r="I21" s="51"/>
      <c r="J21" s="51"/>
      <c r="K21" s="51"/>
      <c r="L21" s="51"/>
      <c r="M21" s="51"/>
      <c r="N21" s="51"/>
      <c r="O21" s="52">
        <f t="shared" ref="O21:O26" si="3">SUM(C21:N21)</f>
        <v>2642110</v>
      </c>
    </row>
    <row r="22" spans="2:21" x14ac:dyDescent="0.3">
      <c r="B22" s="12" t="s">
        <v>0</v>
      </c>
      <c r="C22" s="51">
        <f>SUMIFS('Compras Enero'!$S$2:$S$13,'Compras Enero'!$D$2:$D$13,"Licitaciones")</f>
        <v>0</v>
      </c>
      <c r="D22" s="51">
        <f>SUMIFS('Compras Febrero'!$S$2:$S$5,'Compras Febrero'!$D$2:$D$5,"Licitaciones")</f>
        <v>0</v>
      </c>
      <c r="E22" s="51">
        <f>SUMIFS('Compras Marzo'!$S$2:$S$11,'Compras Marzo'!$D$2:$D$11,"Licitaciones")</f>
        <v>0</v>
      </c>
      <c r="F22" s="51">
        <f>SUMIFS('Compras Abril'!$S$2:$S$11,'Compras Abril'!$D$2:$D$11,"Licitaciones")</f>
        <v>41919501.68</v>
      </c>
      <c r="G22" s="51">
        <f>SUMIFS('Compras Mayo'!$S$2:$S$15,'Compras Mayo'!$D$2:$D$15,"Licitaciones")</f>
        <v>0</v>
      </c>
      <c r="H22" s="51"/>
      <c r="I22" s="51"/>
      <c r="J22" s="51"/>
      <c r="K22" s="51"/>
      <c r="L22" s="51"/>
      <c r="M22" s="51"/>
      <c r="N22" s="51"/>
      <c r="O22" s="52">
        <f t="shared" si="3"/>
        <v>41919501.68</v>
      </c>
    </row>
    <row r="23" spans="2:21" x14ac:dyDescent="0.3">
      <c r="B23" s="12" t="s">
        <v>27</v>
      </c>
      <c r="C23" s="51">
        <f>SUMIFS('Compras Enero'!$S$2:$S$13,'Compras Enero'!$D$2:$D$13,"Trato Directo")</f>
        <v>0</v>
      </c>
      <c r="D23" s="51">
        <f>SUMIFS('Compras Febrero'!$S$2:$S$5,'Compras Febrero'!$D$2:$D$5,"Trato Directo")</f>
        <v>579012153.05499995</v>
      </c>
      <c r="E23" s="51">
        <f>SUMIFS('Compras Marzo'!$S$2:$S$11,'Compras Marzo'!$D$2:$D$11,"Trato Directo")</f>
        <v>0</v>
      </c>
      <c r="F23" s="51">
        <f>SUMIFS('Compras Abril'!$S$2:$S$11,'Compras Abril'!$D$2:$D$11,"Trato Directo")</f>
        <v>3748500</v>
      </c>
      <c r="G23" s="51">
        <f>SUMIFS('Compras Mayo'!$S$2:$S$15,'Compras Mayo'!$D$2:$D$15,"Trato Directo")</f>
        <v>12000000</v>
      </c>
      <c r="H23" s="51"/>
      <c r="I23" s="51"/>
      <c r="J23" s="51"/>
      <c r="K23" s="51"/>
      <c r="L23" s="51"/>
      <c r="M23" s="51"/>
      <c r="N23" s="51"/>
      <c r="O23" s="52">
        <f t="shared" si="3"/>
        <v>594760653.05499995</v>
      </c>
    </row>
    <row r="24" spans="2:21" x14ac:dyDescent="0.3">
      <c r="B24" s="12" t="s">
        <v>57</v>
      </c>
      <c r="C24" s="51">
        <f>SUMIFS('Compras Enero'!$S$2:$S$13,'Compras Enero'!$D$2:$D$13,"Compra Ágil")</f>
        <v>3455122.16</v>
      </c>
      <c r="D24" s="51">
        <f>SUMIFS('Compras Febrero'!$S$2:$S$5,'Compras Febrero'!$D$2:$D$5,"Compra Ágil")</f>
        <v>2944991.77</v>
      </c>
      <c r="E24" s="51">
        <f>SUMIFS('Compras Marzo'!$S$2:$S$11,'Compras Marzo'!$D$2:$D$11,"Compra Ágil")</f>
        <v>15734585.770819999</v>
      </c>
      <c r="F24" s="51">
        <f>SUMIFS('Compras Abril'!$S$2:$S$11,'Compras Abril'!$D$2:$D$11,"Compra Ágil")</f>
        <v>14412500.550000001</v>
      </c>
      <c r="G24" s="51">
        <f>SUMIFS('Compras Mayo'!$S$2:$S$15,'Compras Mayo'!$D$2:$D$15,"Compra Ágil")</f>
        <v>6361897</v>
      </c>
      <c r="H24" s="51"/>
      <c r="I24" s="51"/>
      <c r="J24" s="51"/>
      <c r="K24" s="51"/>
      <c r="L24" s="51"/>
      <c r="M24" s="51"/>
      <c r="N24" s="51"/>
      <c r="O24" s="52">
        <f t="shared" si="3"/>
        <v>42909097.250819996</v>
      </c>
    </row>
    <row r="25" spans="2:21" x14ac:dyDescent="0.3">
      <c r="B25" s="12" t="s">
        <v>1</v>
      </c>
      <c r="C25" s="51">
        <f>SUMIFS('Compras Enero'!$S$2:$S$13,'Compras Enero'!$D$2:$D$13,"Compras Coordinadas")</f>
        <v>0</v>
      </c>
      <c r="D25" s="51">
        <f>SUMIFS('Compras Febrero'!$S$2:$S$5,'Compras Febrero'!$D$2:$D$5,"Compras Coordinadas")</f>
        <v>0</v>
      </c>
      <c r="E25" s="51">
        <f>SUMIFS('Compras Marzo'!$S$2:$S$11,'Compras Marzo'!$D$2:$D$11,"Compras Coordinadas")</f>
        <v>0</v>
      </c>
      <c r="F25" s="51">
        <f>SUMIFS('Compras Abril'!$S$2:$S$11,'Compras Abril'!$D$2:$D$11,"Compras Coordinadas")</f>
        <v>0</v>
      </c>
      <c r="G25" s="51">
        <f>SUMIFS('Compras Mayo'!$S$2:$S$15,'Compras Mayo'!$D$2:$D$15,"Compras Coordinadas")</f>
        <v>0</v>
      </c>
      <c r="H25" s="51"/>
      <c r="I25" s="51"/>
      <c r="J25" s="51"/>
      <c r="K25" s="51"/>
      <c r="L25" s="51"/>
      <c r="M25" s="51"/>
      <c r="N25" s="51"/>
      <c r="O25" s="52">
        <f t="shared" si="3"/>
        <v>0</v>
      </c>
    </row>
    <row r="26" spans="2:21" x14ac:dyDescent="0.3">
      <c r="B26" s="12" t="s">
        <v>18</v>
      </c>
      <c r="C26" s="51">
        <f>SUM(C21:C25)</f>
        <v>4260291.16</v>
      </c>
      <c r="D26" s="53">
        <f t="shared" ref="D26:N26" si="4">SUM(D21:D25)</f>
        <v>581957144.82499993</v>
      </c>
      <c r="E26" s="53">
        <f t="shared" si="4"/>
        <v>16417773.770819999</v>
      </c>
      <c r="F26" s="53">
        <f t="shared" si="4"/>
        <v>60253821.230000004</v>
      </c>
      <c r="G26" s="53">
        <f t="shared" si="4"/>
        <v>19342331</v>
      </c>
      <c r="H26" s="53">
        <f t="shared" si="4"/>
        <v>0</v>
      </c>
      <c r="I26" s="53">
        <f t="shared" si="4"/>
        <v>0</v>
      </c>
      <c r="J26" s="53">
        <f t="shared" si="4"/>
        <v>0</v>
      </c>
      <c r="K26" s="53">
        <f t="shared" si="4"/>
        <v>0</v>
      </c>
      <c r="L26" s="53">
        <f t="shared" si="4"/>
        <v>0</v>
      </c>
      <c r="M26" s="53">
        <f>SUM(M21:M25)</f>
        <v>0</v>
      </c>
      <c r="N26" s="53">
        <f t="shared" si="4"/>
        <v>0</v>
      </c>
      <c r="O26" s="54">
        <f t="shared" si="3"/>
        <v>682231361.98581994</v>
      </c>
      <c r="P26" s="22">
        <f>+O26-'OC Acumulado'!U59</f>
        <v>0</v>
      </c>
    </row>
    <row r="27" spans="2:21" x14ac:dyDescent="0.3">
      <c r="C27" s="55">
        <f>+'Compras Enero'!S14</f>
        <v>4260291.16</v>
      </c>
      <c r="D27" s="55">
        <f>+'Compras Febrero'!S6</f>
        <v>581957144.82499993</v>
      </c>
      <c r="E27" s="55">
        <f>+'Compras Marzo'!S12</f>
        <v>16417773.770819999</v>
      </c>
      <c r="F27" s="55">
        <f>+'Compras Abril'!S12</f>
        <v>60253821.230000004</v>
      </c>
      <c r="G27" s="55">
        <f>+'Compras Mayo'!S16</f>
        <v>19342331</v>
      </c>
      <c r="H27" s="55"/>
      <c r="I27" s="55"/>
      <c r="J27" s="55"/>
      <c r="K27" s="55"/>
      <c r="L27" s="55"/>
      <c r="M27" s="55"/>
      <c r="N27" s="55"/>
      <c r="O27" s="55">
        <f>+'OC Acumulado'!S59</f>
        <v>682231361.98581994</v>
      </c>
    </row>
    <row r="28" spans="2:21" x14ac:dyDescent="0.3">
      <c r="C28" s="22"/>
      <c r="D28" s="22"/>
      <c r="E28" s="22"/>
      <c r="F28" s="22"/>
      <c r="G28" s="22"/>
    </row>
    <row r="29" spans="2:21" x14ac:dyDescent="0.3">
      <c r="B29" s="10" t="s">
        <v>23</v>
      </c>
      <c r="C29" s="11" t="s">
        <v>24</v>
      </c>
      <c r="D29" s="11" t="s">
        <v>25</v>
      </c>
      <c r="E29" s="11" t="s">
        <v>28</v>
      </c>
      <c r="F29" s="11" t="s">
        <v>29</v>
      </c>
      <c r="G29" s="11" t="s">
        <v>31</v>
      </c>
      <c r="H29" s="11" t="s">
        <v>32</v>
      </c>
      <c r="I29" s="11" t="s">
        <v>38</v>
      </c>
      <c r="J29" s="11" t="s">
        <v>39</v>
      </c>
      <c r="K29" s="11" t="s">
        <v>40</v>
      </c>
      <c r="L29" s="11" t="s">
        <v>41</v>
      </c>
      <c r="M29" s="11" t="s">
        <v>42</v>
      </c>
      <c r="N29" s="11" t="s">
        <v>43</v>
      </c>
      <c r="O29" s="11" t="s">
        <v>26</v>
      </c>
    </row>
    <row r="30" spans="2:21" x14ac:dyDescent="0.3">
      <c r="B30" s="12" t="s">
        <v>19</v>
      </c>
      <c r="C30" s="16">
        <v>718019</v>
      </c>
      <c r="D30" s="16">
        <v>632607</v>
      </c>
      <c r="E30" s="16">
        <v>1002916</v>
      </c>
      <c r="F30" s="16">
        <v>663679</v>
      </c>
      <c r="G30" s="16">
        <v>658663</v>
      </c>
      <c r="H30" s="16"/>
      <c r="I30" s="16"/>
      <c r="J30" s="18"/>
      <c r="K30" s="18"/>
      <c r="L30" s="23"/>
      <c r="M30" s="23"/>
      <c r="N30" s="23"/>
      <c r="O30" s="23">
        <f>SUM(C30:N30)</f>
        <v>3675884</v>
      </c>
      <c r="R30" s="21"/>
    </row>
    <row r="31" spans="2:21" x14ac:dyDescent="0.3">
      <c r="B31" s="12" t="s">
        <v>20</v>
      </c>
      <c r="C31" s="17">
        <f>+C30</f>
        <v>718019</v>
      </c>
      <c r="D31" s="17">
        <f>+D30+C31</f>
        <v>1350626</v>
      </c>
      <c r="E31" s="17">
        <f t="shared" ref="E31:N31" si="5">+E30+D31</f>
        <v>2353542</v>
      </c>
      <c r="F31" s="17">
        <f t="shared" si="5"/>
        <v>3017221</v>
      </c>
      <c r="G31" s="17">
        <f t="shared" si="5"/>
        <v>3675884</v>
      </c>
      <c r="H31" s="17">
        <f t="shared" si="5"/>
        <v>3675884</v>
      </c>
      <c r="I31" s="17">
        <f t="shared" si="5"/>
        <v>3675884</v>
      </c>
      <c r="J31" s="17">
        <f t="shared" si="5"/>
        <v>3675884</v>
      </c>
      <c r="K31" s="17">
        <f t="shared" si="5"/>
        <v>3675884</v>
      </c>
      <c r="L31" s="17">
        <f t="shared" si="5"/>
        <v>3675884</v>
      </c>
      <c r="M31" s="17">
        <f t="shared" si="5"/>
        <v>3675884</v>
      </c>
      <c r="N31" s="17">
        <f t="shared" si="5"/>
        <v>3675884</v>
      </c>
      <c r="O31" s="17">
        <f>MAX(C31:N31)</f>
        <v>3675884</v>
      </c>
    </row>
    <row r="32" spans="2:21" x14ac:dyDescent="0.3">
      <c r="B32" s="12" t="s">
        <v>21</v>
      </c>
      <c r="C32" s="25">
        <f>C31/$C$48</f>
        <v>8.4905381487048848E-2</v>
      </c>
      <c r="D32" s="25">
        <f>D31/$C$48</f>
        <v>0.1597108374239774</v>
      </c>
      <c r="E32" s="25">
        <f t="shared" ref="E32:O32" si="6">E31/$C$48</f>
        <v>0.27830514423126951</v>
      </c>
      <c r="F32" s="25">
        <f t="shared" si="6"/>
        <v>0.35678484836158236</v>
      </c>
      <c r="G32" s="25">
        <f t="shared" si="6"/>
        <v>0.43467141304358109</v>
      </c>
      <c r="H32" s="25">
        <f t="shared" si="6"/>
        <v>0.43467141304358109</v>
      </c>
      <c r="I32" s="25">
        <f t="shared" si="6"/>
        <v>0.43467141304358109</v>
      </c>
      <c r="J32" s="25">
        <f t="shared" si="6"/>
        <v>0.43467141304358109</v>
      </c>
      <c r="K32" s="25">
        <f t="shared" si="6"/>
        <v>0.43467141304358109</v>
      </c>
      <c r="L32" s="25">
        <f t="shared" si="6"/>
        <v>0.43467141304358109</v>
      </c>
      <c r="M32" s="25">
        <f t="shared" si="6"/>
        <v>0.43467141304358109</v>
      </c>
      <c r="N32" s="25">
        <f t="shared" si="6"/>
        <v>0.43467141304358109</v>
      </c>
      <c r="O32" s="25">
        <f t="shared" si="6"/>
        <v>0.43467141304358109</v>
      </c>
    </row>
    <row r="33" spans="2:15" x14ac:dyDescent="0.3">
      <c r="C33" s="19"/>
      <c r="J33" s="28"/>
    </row>
    <row r="34" spans="2:15" x14ac:dyDescent="0.3">
      <c r="B34" s="10" t="s">
        <v>63</v>
      </c>
      <c r="C34" s="11" t="s">
        <v>24</v>
      </c>
      <c r="D34" s="11" t="s">
        <v>25</v>
      </c>
      <c r="E34" s="11" t="s">
        <v>28</v>
      </c>
      <c r="F34" s="11" t="s">
        <v>29</v>
      </c>
      <c r="G34" s="11" t="s">
        <v>31</v>
      </c>
      <c r="H34" s="11" t="s">
        <v>32</v>
      </c>
      <c r="I34" s="11" t="s">
        <v>38</v>
      </c>
      <c r="J34" s="11" t="s">
        <v>39</v>
      </c>
      <c r="K34" s="11" t="s">
        <v>40</v>
      </c>
      <c r="L34" s="11" t="s">
        <v>41</v>
      </c>
      <c r="M34" s="11" t="s">
        <v>42</v>
      </c>
      <c r="N34" s="11" t="s">
        <v>43</v>
      </c>
      <c r="O34" s="11" t="s">
        <v>26</v>
      </c>
    </row>
    <row r="35" spans="2:15" x14ac:dyDescent="0.3">
      <c r="B35" s="12" t="s">
        <v>162</v>
      </c>
      <c r="C35" s="16">
        <v>535195.72199999995</v>
      </c>
      <c r="D35" s="16">
        <v>530806.277</v>
      </c>
      <c r="E35" s="16">
        <v>757939.81900000002</v>
      </c>
      <c r="F35" s="16">
        <v>543726</v>
      </c>
      <c r="G35" s="16">
        <v>536476</v>
      </c>
      <c r="H35" s="16"/>
      <c r="I35" s="16"/>
      <c r="J35" s="16"/>
      <c r="K35" s="16"/>
      <c r="L35" s="16"/>
      <c r="M35" s="16"/>
      <c r="N35" s="16"/>
      <c r="O35" s="16">
        <f>SUM(C35:N35)</f>
        <v>2904143.818</v>
      </c>
    </row>
    <row r="36" spans="2:15" x14ac:dyDescent="0.3">
      <c r="B36" s="12" t="s">
        <v>163</v>
      </c>
      <c r="C36" s="16">
        <v>61372.177000000003</v>
      </c>
      <c r="D36" s="16">
        <v>96566.297999999995</v>
      </c>
      <c r="E36" s="16">
        <v>100182.611</v>
      </c>
      <c r="F36" s="16">
        <v>113192</v>
      </c>
      <c r="G36" s="16">
        <v>111165</v>
      </c>
      <c r="H36" s="16"/>
      <c r="I36" s="16"/>
      <c r="J36" s="16"/>
      <c r="K36" s="16"/>
      <c r="L36" s="16"/>
      <c r="M36" s="16"/>
      <c r="N36" s="16"/>
      <c r="O36" s="16">
        <f t="shared" ref="O36:O39" si="7">SUM(C36:N36)</f>
        <v>482478.08600000001</v>
      </c>
    </row>
    <row r="37" spans="2:15" x14ac:dyDescent="0.3">
      <c r="B37" s="12" t="s">
        <v>61</v>
      </c>
      <c r="C37" s="16">
        <v>104997.06600000001</v>
      </c>
      <c r="D37" s="16">
        <v>0</v>
      </c>
      <c r="E37" s="16">
        <v>0</v>
      </c>
      <c r="F37" s="16">
        <v>1217</v>
      </c>
      <c r="G37" s="16">
        <v>1599</v>
      </c>
      <c r="H37" s="16"/>
      <c r="I37" s="16"/>
      <c r="J37" s="16"/>
      <c r="K37" s="16"/>
      <c r="L37" s="16"/>
      <c r="M37" s="16"/>
      <c r="N37" s="16"/>
      <c r="O37" s="16">
        <f t="shared" si="7"/>
        <v>107813.06600000001</v>
      </c>
    </row>
    <row r="38" spans="2:15" x14ac:dyDescent="0.3">
      <c r="B38" s="12" t="s">
        <v>64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/>
      <c r="I38" s="16"/>
      <c r="J38" s="16"/>
      <c r="K38" s="16"/>
      <c r="L38" s="16"/>
      <c r="M38" s="16"/>
      <c r="N38" s="16"/>
      <c r="O38" s="16">
        <f t="shared" si="7"/>
        <v>0</v>
      </c>
    </row>
    <row r="39" spans="2:15" x14ac:dyDescent="0.3">
      <c r="B39" s="12" t="s">
        <v>62</v>
      </c>
      <c r="C39" s="16">
        <v>16454.504000000001</v>
      </c>
      <c r="D39" s="16">
        <v>5234.5360000000001</v>
      </c>
      <c r="E39" s="16">
        <v>144793.32199999999</v>
      </c>
      <c r="F39" s="16">
        <v>5544</v>
      </c>
      <c r="G39" s="16">
        <v>9423</v>
      </c>
      <c r="H39" s="16"/>
      <c r="I39" s="16"/>
      <c r="J39" s="16"/>
      <c r="K39" s="16"/>
      <c r="L39" s="16"/>
      <c r="M39" s="16"/>
      <c r="N39" s="16"/>
      <c r="O39" s="16">
        <f t="shared" si="7"/>
        <v>181449.36199999999</v>
      </c>
    </row>
    <row r="40" spans="2:15" x14ac:dyDescent="0.3">
      <c r="B40" s="12" t="s">
        <v>65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/>
      <c r="I40" s="16"/>
      <c r="J40" s="16"/>
      <c r="K40" s="16"/>
      <c r="L40" s="16"/>
      <c r="M40" s="16"/>
      <c r="N40" s="16"/>
      <c r="O40" s="16">
        <f t="shared" ref="O40" si="8">SUM(C40:N40)</f>
        <v>0</v>
      </c>
    </row>
    <row r="41" spans="2:15" x14ac:dyDescent="0.3">
      <c r="B41" s="12" t="s">
        <v>19</v>
      </c>
      <c r="C41" s="59">
        <f>SUM(C35:C40)</f>
        <v>718019.46899999992</v>
      </c>
      <c r="D41" s="59">
        <f t="shared" ref="D41:N41" si="9">SUM(D35:D40)</f>
        <v>632607.11099999992</v>
      </c>
      <c r="E41" s="59">
        <f t="shared" si="9"/>
        <v>1002915.7520000001</v>
      </c>
      <c r="F41" s="59">
        <f t="shared" si="9"/>
        <v>663679</v>
      </c>
      <c r="G41" s="59">
        <f t="shared" si="9"/>
        <v>658663</v>
      </c>
      <c r="H41" s="59">
        <f t="shared" si="9"/>
        <v>0</v>
      </c>
      <c r="I41" s="59">
        <f t="shared" si="9"/>
        <v>0</v>
      </c>
      <c r="J41" s="59">
        <f t="shared" si="9"/>
        <v>0</v>
      </c>
      <c r="K41" s="59">
        <f t="shared" si="9"/>
        <v>0</v>
      </c>
      <c r="L41" s="59">
        <f t="shared" si="9"/>
        <v>0</v>
      </c>
      <c r="M41" s="59">
        <f t="shared" si="9"/>
        <v>0</v>
      </c>
      <c r="N41" s="59">
        <f t="shared" si="9"/>
        <v>0</v>
      </c>
      <c r="O41" s="59">
        <f>SUM(O35:O40)</f>
        <v>3675884.3320000004</v>
      </c>
    </row>
    <row r="42" spans="2:15" x14ac:dyDescent="0.3"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2:15" x14ac:dyDescent="0.3">
      <c r="C43" s="19"/>
      <c r="J43" s="28"/>
      <c r="O43" s="60"/>
    </row>
    <row r="44" spans="2:15" x14ac:dyDescent="0.3">
      <c r="B44" s="12" t="s">
        <v>30</v>
      </c>
      <c r="C44" s="38">
        <v>8585478</v>
      </c>
      <c r="M44" s="28"/>
    </row>
    <row r="45" spans="2:15" x14ac:dyDescent="0.3">
      <c r="B45" s="12" t="s">
        <v>161</v>
      </c>
      <c r="C45" s="20">
        <v>-128782</v>
      </c>
      <c r="E45" s="69"/>
      <c r="F45" s="69"/>
      <c r="G45" s="69"/>
      <c r="H45" s="69"/>
      <c r="I45" s="70">
        <v>8254283</v>
      </c>
      <c r="J45" s="69" t="s">
        <v>66</v>
      </c>
      <c r="K45" s="69"/>
    </row>
    <row r="46" spans="2:15" ht="14.5" x14ac:dyDescent="0.35">
      <c r="B46" s="12"/>
      <c r="C46" s="20">
        <v>0</v>
      </c>
      <c r="E46" s="69"/>
      <c r="F46" s="69"/>
      <c r="G46" s="69">
        <f>3/12</f>
        <v>0.25</v>
      </c>
      <c r="H46" s="69"/>
      <c r="I46" s="71" t="e">
        <f>+#REF!/I45</f>
        <v>#REF!</v>
      </c>
      <c r="J46" s="71">
        <v>0.41666666666666669</v>
      </c>
      <c r="K46" s="69"/>
    </row>
    <row r="47" spans="2:15" ht="14.5" x14ac:dyDescent="0.35">
      <c r="B47" s="12"/>
      <c r="C47" s="20"/>
      <c r="E47" s="69"/>
      <c r="F47" s="72"/>
      <c r="G47" s="69"/>
      <c r="H47" s="69"/>
      <c r="I47" s="73"/>
      <c r="J47" s="74"/>
      <c r="K47" s="69"/>
    </row>
    <row r="48" spans="2:15" ht="14.5" x14ac:dyDescent="0.35">
      <c r="B48" s="12" t="s">
        <v>49</v>
      </c>
      <c r="C48" s="27">
        <f>+C44+C45</f>
        <v>8456696</v>
      </c>
      <c r="D48" s="21"/>
      <c r="E48" s="75">
        <f>+C48-O31</f>
        <v>4780812</v>
      </c>
      <c r="F48" s="69"/>
      <c r="G48" s="69"/>
      <c r="H48" s="69"/>
      <c r="I48" s="73"/>
      <c r="J48" s="73"/>
      <c r="K48" s="69"/>
    </row>
    <row r="49" spans="3:11" ht="24.65" customHeight="1" x14ac:dyDescent="0.35">
      <c r="F49" s="22"/>
      <c r="I49"/>
      <c r="J49"/>
      <c r="K49" s="24"/>
    </row>
    <row r="50" spans="3:11" x14ac:dyDescent="0.3">
      <c r="C50" s="88"/>
      <c r="D50" s="88"/>
      <c r="E50" s="88"/>
    </row>
    <row r="51" spans="3:11" x14ac:dyDescent="0.3">
      <c r="C51" s="88"/>
      <c r="D51" s="88"/>
      <c r="E51" s="88"/>
    </row>
    <row r="52" spans="3:11" x14ac:dyDescent="0.3">
      <c r="C52" s="88"/>
      <c r="D52" s="88"/>
      <c r="E52" s="88"/>
    </row>
    <row r="53" spans="3:11" x14ac:dyDescent="0.3">
      <c r="C53" s="88"/>
      <c r="D53" s="88"/>
      <c r="E53" s="88"/>
    </row>
    <row r="54" spans="3:11" x14ac:dyDescent="0.3">
      <c r="C54" s="88"/>
      <c r="D54" s="88"/>
      <c r="E54" s="88"/>
    </row>
    <row r="55" spans="3:11" x14ac:dyDescent="0.3">
      <c r="C55" s="21"/>
      <c r="D55" s="21"/>
      <c r="E55" s="21"/>
    </row>
  </sheetData>
  <mergeCells count="1">
    <mergeCell ref="B2:C2"/>
  </mergeCells>
  <phoneticPr fontId="3" type="noConversion"/>
  <pageMargins left="0.7" right="0.7" top="0.75" bottom="0.75" header="0.3" footer="0.3"/>
  <pageSetup orientation="portrait" r:id="rId1"/>
  <ignoredErrors>
    <ignoredError sqref="E8 I46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D2DC-4FB1-47EA-BEE9-A4696DFEFB95}">
  <dimension ref="B4:S46"/>
  <sheetViews>
    <sheetView tabSelected="1" topLeftCell="E1" workbookViewId="0">
      <selection activeCell="G47" sqref="G47"/>
    </sheetView>
  </sheetViews>
  <sheetFormatPr baseColWidth="10" defaultColWidth="10.54296875" defaultRowHeight="12" x14ac:dyDescent="0.3"/>
  <cols>
    <col min="1" max="1" width="10.54296875" style="1"/>
    <col min="2" max="2" width="38" style="1" bestFit="1" customWidth="1"/>
    <col min="3" max="16" width="9.81640625" style="1" customWidth="1"/>
    <col min="17" max="16384" width="10.54296875" style="1"/>
  </cols>
  <sheetData>
    <row r="4" spans="2:19" x14ac:dyDescent="0.3">
      <c r="B4" s="2" t="s">
        <v>48</v>
      </c>
      <c r="C4" s="6">
        <v>2009</v>
      </c>
      <c r="D4" s="6">
        <v>2010</v>
      </c>
      <c r="E4" s="6">
        <v>2011</v>
      </c>
      <c r="F4" s="6">
        <v>2012</v>
      </c>
      <c r="G4" s="6">
        <v>2013</v>
      </c>
      <c r="H4" s="6">
        <v>2014</v>
      </c>
      <c r="I4" s="6">
        <v>2015</v>
      </c>
      <c r="J4" s="6">
        <v>2016</v>
      </c>
      <c r="K4" s="6">
        <v>2017</v>
      </c>
      <c r="L4" s="6">
        <v>2018</v>
      </c>
      <c r="M4" s="6">
        <v>2019</v>
      </c>
      <c r="N4" s="6">
        <v>2020</v>
      </c>
      <c r="O4" s="6">
        <v>2021</v>
      </c>
      <c r="P4" s="6">
        <v>2022</v>
      </c>
      <c r="Q4" s="6">
        <v>2023</v>
      </c>
      <c r="R4" s="6">
        <v>2024</v>
      </c>
      <c r="S4" s="6">
        <v>2025</v>
      </c>
    </row>
    <row r="5" spans="2:19" ht="15" customHeight="1" x14ac:dyDescent="0.3">
      <c r="B5" s="2" t="s">
        <v>33</v>
      </c>
      <c r="C5" s="3">
        <v>1733465</v>
      </c>
      <c r="D5" s="3">
        <v>2783210</v>
      </c>
      <c r="E5" s="3">
        <v>3250968</v>
      </c>
      <c r="F5" s="3">
        <v>3496019</v>
      </c>
      <c r="G5" s="3">
        <v>4452621</v>
      </c>
      <c r="H5" s="3">
        <v>4606752</v>
      </c>
      <c r="I5" s="3">
        <v>5359186</v>
      </c>
      <c r="J5" s="3">
        <v>5887514</v>
      </c>
      <c r="K5" s="3">
        <v>6374664</v>
      </c>
      <c r="L5" s="3">
        <v>6614337</v>
      </c>
      <c r="M5" s="3">
        <v>7009718</v>
      </c>
      <c r="N5" s="3">
        <v>7402521</v>
      </c>
      <c r="O5" s="3">
        <v>6781495</v>
      </c>
      <c r="P5" s="3">
        <v>7079881</v>
      </c>
      <c r="Q5" s="3">
        <v>7713078</v>
      </c>
      <c r="R5" s="3">
        <v>8133235</v>
      </c>
      <c r="S5" s="3">
        <v>8585478</v>
      </c>
    </row>
    <row r="6" spans="2:19" ht="15" customHeight="1" x14ac:dyDescent="0.3">
      <c r="B6" s="2" t="s">
        <v>34</v>
      </c>
      <c r="C6" s="3">
        <v>309441</v>
      </c>
      <c r="D6" s="3">
        <v>209162</v>
      </c>
      <c r="E6" s="3">
        <v>449264</v>
      </c>
      <c r="F6" s="3">
        <v>364571</v>
      </c>
      <c r="G6" s="3">
        <v>715407</v>
      </c>
      <c r="H6" s="3">
        <v>433379</v>
      </c>
      <c r="I6" s="3">
        <v>309791</v>
      </c>
      <c r="J6" s="3">
        <v>267114</v>
      </c>
      <c r="K6" s="3">
        <v>180349</v>
      </c>
      <c r="L6" s="3">
        <v>231703</v>
      </c>
      <c r="M6" s="3">
        <v>216029</v>
      </c>
      <c r="N6" s="3">
        <v>0</v>
      </c>
      <c r="O6" s="3">
        <v>236812</v>
      </c>
      <c r="P6" s="3">
        <v>285770</v>
      </c>
      <c r="Q6" s="3">
        <f>36174+82418+65000</f>
        <v>183592</v>
      </c>
      <c r="R6" s="3">
        <f>121048+71549</f>
        <v>192597</v>
      </c>
      <c r="S6" s="3">
        <v>-128782</v>
      </c>
    </row>
    <row r="7" spans="2:19" ht="15" customHeight="1" x14ac:dyDescent="0.3">
      <c r="B7" s="2" t="s">
        <v>35</v>
      </c>
      <c r="C7" s="7">
        <f>SUM(C5:C6)</f>
        <v>2042906</v>
      </c>
      <c r="D7" s="7">
        <f t="shared" ref="D7:O7" si="0">SUM(D5:D6)</f>
        <v>2992372</v>
      </c>
      <c r="E7" s="7">
        <f t="shared" si="0"/>
        <v>3700232</v>
      </c>
      <c r="F7" s="7">
        <f t="shared" si="0"/>
        <v>3860590</v>
      </c>
      <c r="G7" s="7">
        <f t="shared" si="0"/>
        <v>5168028</v>
      </c>
      <c r="H7" s="7">
        <f t="shared" si="0"/>
        <v>5040131</v>
      </c>
      <c r="I7" s="7">
        <f t="shared" si="0"/>
        <v>5668977</v>
      </c>
      <c r="J7" s="7">
        <f t="shared" si="0"/>
        <v>6154628</v>
      </c>
      <c r="K7" s="7">
        <f t="shared" si="0"/>
        <v>6555013</v>
      </c>
      <c r="L7" s="7">
        <f t="shared" si="0"/>
        <v>6846040</v>
      </c>
      <c r="M7" s="7">
        <f t="shared" si="0"/>
        <v>7225747</v>
      </c>
      <c r="N7" s="7">
        <f t="shared" si="0"/>
        <v>7402521</v>
      </c>
      <c r="O7" s="7">
        <f t="shared" si="0"/>
        <v>7018307</v>
      </c>
      <c r="P7" s="7">
        <f>SUM(P5:P6)</f>
        <v>7365651</v>
      </c>
      <c r="Q7" s="3">
        <f>SUM(Q5:Q6)</f>
        <v>7896670</v>
      </c>
      <c r="R7" s="3">
        <f>SUM(R5:R6)</f>
        <v>8325832</v>
      </c>
      <c r="S7" s="3">
        <f>SUM(S5:S6)</f>
        <v>8456696</v>
      </c>
    </row>
    <row r="8" spans="2:19" ht="15" customHeight="1" x14ac:dyDescent="0.3">
      <c r="B8" s="2" t="s">
        <v>36</v>
      </c>
      <c r="C8" s="3">
        <v>2041494.2990000001</v>
      </c>
      <c r="D8" s="3">
        <v>2991446.9189999998</v>
      </c>
      <c r="E8" s="3">
        <v>3654758.64</v>
      </c>
      <c r="F8" s="3">
        <v>3825343</v>
      </c>
      <c r="G8" s="3">
        <v>5130336</v>
      </c>
      <c r="H8" s="3">
        <v>5020917</v>
      </c>
      <c r="I8" s="3">
        <v>5604211</v>
      </c>
      <c r="J8" s="3">
        <v>6105912</v>
      </c>
      <c r="K8" s="3">
        <v>6478883</v>
      </c>
      <c r="L8" s="3">
        <v>6764567</v>
      </c>
      <c r="M8" s="3">
        <v>7172308.8600000003</v>
      </c>
      <c r="N8" s="3">
        <v>7271632.608</v>
      </c>
      <c r="O8" s="3">
        <v>7017561</v>
      </c>
      <c r="P8" s="3">
        <f>(MAX(C28:N28))</f>
        <v>7364890</v>
      </c>
      <c r="Q8" s="3">
        <f>MAX(C34:N34)</f>
        <v>7896647.5999999996</v>
      </c>
      <c r="R8" s="3">
        <f>MAX(C40:N40)</f>
        <v>8325820</v>
      </c>
      <c r="S8" s="3">
        <f>MAX(C45:N45)</f>
        <v>3675884.469</v>
      </c>
    </row>
    <row r="9" spans="2:19" ht="15" customHeight="1" x14ac:dyDescent="0.3">
      <c r="B9" s="2" t="s">
        <v>37</v>
      </c>
      <c r="C9" s="4">
        <f>+C8/C7</f>
        <v>0.99930897407908148</v>
      </c>
      <c r="D9" s="4">
        <f t="shared" ref="D9:M9" si="1">+D8/D7</f>
        <v>0.99969085361044674</v>
      </c>
      <c r="E9" s="4">
        <f t="shared" si="1"/>
        <v>0.9877106732767027</v>
      </c>
      <c r="F9" s="4">
        <f t="shared" si="1"/>
        <v>0.99087004836048376</v>
      </c>
      <c r="G9" s="4">
        <f t="shared" si="1"/>
        <v>0.99270669586155491</v>
      </c>
      <c r="H9" s="4">
        <f t="shared" si="1"/>
        <v>0.99618779749970787</v>
      </c>
      <c r="I9" s="4">
        <f t="shared" si="1"/>
        <v>0.98857536377374611</v>
      </c>
      <c r="J9" s="4">
        <f t="shared" si="1"/>
        <v>0.99208465564450032</v>
      </c>
      <c r="K9" s="4">
        <f t="shared" si="1"/>
        <v>0.98838598794540911</v>
      </c>
      <c r="L9" s="4">
        <f t="shared" si="1"/>
        <v>0.98809925153811551</v>
      </c>
      <c r="M9" s="4">
        <f t="shared" si="1"/>
        <v>0.99260448227705733</v>
      </c>
      <c r="N9" s="4">
        <f>+N8/N7</f>
        <v>0.98231840314941354</v>
      </c>
      <c r="O9" s="4">
        <f>O8/O7</f>
        <v>0.999893706559146</v>
      </c>
      <c r="P9" s="4">
        <f>P8/P7</f>
        <v>0.99989668258786635</v>
      </c>
      <c r="Q9" s="4">
        <f>Q8/Q7</f>
        <v>0.99999716336126487</v>
      </c>
      <c r="R9" s="4">
        <f>R8/R7</f>
        <v>0.99999855870260168</v>
      </c>
      <c r="S9" s="4">
        <f>S8/S7</f>
        <v>0.43467146850259253</v>
      </c>
    </row>
    <row r="11" spans="2:19" hidden="1" x14ac:dyDescent="0.3"/>
    <row r="12" spans="2:19" hidden="1" x14ac:dyDescent="0.3"/>
    <row r="13" spans="2:19" hidden="1" x14ac:dyDescent="0.3">
      <c r="B13" s="6">
        <v>2020</v>
      </c>
      <c r="C13" s="2" t="s">
        <v>24</v>
      </c>
      <c r="D13" s="2" t="s">
        <v>25</v>
      </c>
      <c r="E13" s="2" t="s">
        <v>28</v>
      </c>
      <c r="F13" s="2" t="s">
        <v>29</v>
      </c>
      <c r="G13" s="2" t="s">
        <v>31</v>
      </c>
      <c r="H13" s="2" t="s">
        <v>32</v>
      </c>
      <c r="I13" s="2" t="s">
        <v>38</v>
      </c>
      <c r="J13" s="2" t="s">
        <v>39</v>
      </c>
      <c r="K13" s="2" t="s">
        <v>40</v>
      </c>
      <c r="L13" s="2" t="s">
        <v>41</v>
      </c>
      <c r="M13" s="2" t="s">
        <v>42</v>
      </c>
      <c r="N13" s="2" t="s">
        <v>43</v>
      </c>
    </row>
    <row r="14" spans="2:19" hidden="1" x14ac:dyDescent="0.3">
      <c r="B14" s="2" t="s">
        <v>44</v>
      </c>
      <c r="C14" s="3">
        <v>566586.02300000004</v>
      </c>
      <c r="D14" s="3">
        <v>489827.82199999999</v>
      </c>
      <c r="E14" s="3">
        <v>652175.32799999998</v>
      </c>
      <c r="F14" s="3">
        <v>544623.16500000004</v>
      </c>
      <c r="G14" s="3">
        <v>575664.22</v>
      </c>
      <c r="H14" s="3">
        <v>589136.11199999996</v>
      </c>
      <c r="I14" s="3">
        <v>530939.15700000001</v>
      </c>
      <c r="J14" s="3">
        <v>510910.408</v>
      </c>
      <c r="K14" s="3">
        <v>646101.60100000002</v>
      </c>
      <c r="L14" s="3">
        <v>568122.48400000005</v>
      </c>
      <c r="M14" s="3">
        <v>587323.27800000005</v>
      </c>
      <c r="N14" s="3">
        <v>1010223.01</v>
      </c>
    </row>
    <row r="15" spans="2:19" hidden="1" x14ac:dyDescent="0.3">
      <c r="B15" s="2" t="s">
        <v>45</v>
      </c>
      <c r="C15" s="3">
        <f>+C14</f>
        <v>566586.02300000004</v>
      </c>
      <c r="D15" s="3">
        <f>+D14+C15</f>
        <v>1056413.845</v>
      </c>
      <c r="E15" s="3">
        <f t="shared" ref="E15:N15" si="2">+E14+D15</f>
        <v>1708589.173</v>
      </c>
      <c r="F15" s="3">
        <f t="shared" si="2"/>
        <v>2253212.338</v>
      </c>
      <c r="G15" s="3">
        <f t="shared" si="2"/>
        <v>2828876.5580000002</v>
      </c>
      <c r="H15" s="3">
        <f t="shared" si="2"/>
        <v>3418012.67</v>
      </c>
      <c r="I15" s="3">
        <f t="shared" si="2"/>
        <v>3948951.827</v>
      </c>
      <c r="J15" s="3">
        <f t="shared" si="2"/>
        <v>4459862.2350000003</v>
      </c>
      <c r="K15" s="3">
        <f t="shared" si="2"/>
        <v>5105963.8360000001</v>
      </c>
      <c r="L15" s="3">
        <f t="shared" si="2"/>
        <v>5674086.3200000003</v>
      </c>
      <c r="M15" s="3">
        <f t="shared" si="2"/>
        <v>6261409.5980000002</v>
      </c>
      <c r="N15" s="3">
        <f t="shared" si="2"/>
        <v>7271632.608</v>
      </c>
    </row>
    <row r="16" spans="2:19" hidden="1" x14ac:dyDescent="0.3">
      <c r="B16" s="2" t="s">
        <v>46</v>
      </c>
      <c r="C16" s="5">
        <f>+C15/$N$7</f>
        <v>7.6539603602610529E-2</v>
      </c>
      <c r="D16" s="5">
        <f t="shared" ref="D16:N16" si="3">+D15/$N$7</f>
        <v>0.14271000987366331</v>
      </c>
      <c r="E16" s="5">
        <f t="shared" si="3"/>
        <v>0.23081179681894856</v>
      </c>
      <c r="F16" s="5">
        <f t="shared" si="3"/>
        <v>0.30438445740309283</v>
      </c>
      <c r="G16" s="5">
        <f t="shared" si="3"/>
        <v>0.38215042659115728</v>
      </c>
      <c r="H16" s="5">
        <f t="shared" si="3"/>
        <v>0.46173630172747904</v>
      </c>
      <c r="I16" s="5">
        <f t="shared" si="3"/>
        <v>0.533460401800954</v>
      </c>
      <c r="J16" s="5">
        <f t="shared" si="3"/>
        <v>0.60247883592630136</v>
      </c>
      <c r="K16" s="5">
        <f t="shared" si="3"/>
        <v>0.68976012847515056</v>
      </c>
      <c r="L16" s="5">
        <f t="shared" si="3"/>
        <v>0.76650729123227079</v>
      </c>
      <c r="M16" s="5">
        <f t="shared" si="3"/>
        <v>0.84584827223050096</v>
      </c>
      <c r="N16" s="5">
        <f t="shared" si="3"/>
        <v>0.98231840314941354</v>
      </c>
    </row>
    <row r="17" spans="2:14" hidden="1" x14ac:dyDescent="0.3">
      <c r="B17" s="76"/>
    </row>
    <row r="18" spans="2:14" hidden="1" x14ac:dyDescent="0.3"/>
    <row r="20" spans="2:14" hidden="1" x14ac:dyDescent="0.3">
      <c r="B20" s="6">
        <v>2021</v>
      </c>
      <c r="C20" s="2" t="s">
        <v>24</v>
      </c>
      <c r="D20" s="2" t="s">
        <v>25</v>
      </c>
      <c r="E20" s="2" t="s">
        <v>28</v>
      </c>
      <c r="F20" s="2" t="s">
        <v>29</v>
      </c>
      <c r="G20" s="2" t="s">
        <v>31</v>
      </c>
      <c r="H20" s="2" t="s">
        <v>32</v>
      </c>
      <c r="I20" s="2" t="s">
        <v>38</v>
      </c>
      <c r="J20" s="2" t="s">
        <v>39</v>
      </c>
      <c r="K20" s="2" t="s">
        <v>40</v>
      </c>
      <c r="L20" s="2" t="s">
        <v>50</v>
      </c>
      <c r="M20" s="2" t="s">
        <v>42</v>
      </c>
      <c r="N20" s="2" t="s">
        <v>43</v>
      </c>
    </row>
    <row r="21" spans="2:14" hidden="1" x14ac:dyDescent="0.3">
      <c r="B21" s="2" t="s">
        <v>47</v>
      </c>
      <c r="C21" s="3">
        <v>489366</v>
      </c>
      <c r="D21" s="3">
        <v>550815</v>
      </c>
      <c r="E21" s="3">
        <v>657444</v>
      </c>
      <c r="F21" s="3">
        <v>688402</v>
      </c>
      <c r="G21" s="3">
        <v>540628.56000000006</v>
      </c>
      <c r="H21" s="3">
        <v>565382.67200000002</v>
      </c>
      <c r="I21" s="3">
        <v>568187</v>
      </c>
      <c r="J21" s="3">
        <v>550699</v>
      </c>
      <c r="K21" s="3">
        <v>600560</v>
      </c>
      <c r="L21" s="3">
        <v>554141</v>
      </c>
      <c r="M21" s="3">
        <v>546223</v>
      </c>
      <c r="N21" s="3">
        <v>705713</v>
      </c>
    </row>
    <row r="22" spans="2:14" hidden="1" x14ac:dyDescent="0.3">
      <c r="B22" s="2" t="s">
        <v>45</v>
      </c>
      <c r="C22" s="26">
        <f>+C21</f>
        <v>489366</v>
      </c>
      <c r="D22" s="26">
        <f>+D21+C22</f>
        <v>1040181</v>
      </c>
      <c r="E22" s="26">
        <f t="shared" ref="E22:H22" si="4">+E21+D22</f>
        <v>1697625</v>
      </c>
      <c r="F22" s="26">
        <f t="shared" si="4"/>
        <v>2386027</v>
      </c>
      <c r="G22" s="26">
        <f t="shared" si="4"/>
        <v>2926655.56</v>
      </c>
      <c r="H22" s="26">
        <f t="shared" si="4"/>
        <v>3492038.2319999998</v>
      </c>
      <c r="I22" s="26">
        <f t="shared" ref="I22:N22" si="5">+I21+H22</f>
        <v>4060225.2319999998</v>
      </c>
      <c r="J22" s="26">
        <f t="shared" si="5"/>
        <v>4610924.2319999998</v>
      </c>
      <c r="K22" s="26">
        <f t="shared" si="5"/>
        <v>5211484.2319999998</v>
      </c>
      <c r="L22" s="26">
        <f t="shared" si="5"/>
        <v>5765625.2319999998</v>
      </c>
      <c r="M22" s="26">
        <f t="shared" si="5"/>
        <v>6311848.2319999998</v>
      </c>
      <c r="N22" s="26">
        <f t="shared" si="5"/>
        <v>7017561.2319999998</v>
      </c>
    </row>
    <row r="23" spans="2:14" hidden="1" x14ac:dyDescent="0.3">
      <c r="B23" s="2" t="s">
        <v>46</v>
      </c>
      <c r="C23" s="5">
        <f>+C22/$O$7</f>
        <v>6.9727072355199052E-2</v>
      </c>
      <c r="D23" s="5">
        <f t="shared" ref="D23:G23" si="6">+D22/$O$7</f>
        <v>0.1482096750683605</v>
      </c>
      <c r="E23" s="5">
        <f t="shared" si="6"/>
        <v>0.24188525808289663</v>
      </c>
      <c r="F23" s="5">
        <f t="shared" si="6"/>
        <v>0.33997187640837029</v>
      </c>
      <c r="G23" s="5">
        <f t="shared" si="6"/>
        <v>0.41700306925872577</v>
      </c>
      <c r="H23" s="5">
        <f t="shared" ref="H23:M23" si="7">+H22/$O$7</f>
        <v>0.49756133950823178</v>
      </c>
      <c r="I23" s="5">
        <f t="shared" si="7"/>
        <v>0.57851918304514183</v>
      </c>
      <c r="J23" s="5">
        <f t="shared" si="7"/>
        <v>0.65698525755570392</v>
      </c>
      <c r="K23" s="5">
        <f t="shared" si="7"/>
        <v>0.74255575197836166</v>
      </c>
      <c r="L23" s="5">
        <f t="shared" si="7"/>
        <v>0.82151225815570617</v>
      </c>
      <c r="M23" s="5">
        <f t="shared" si="7"/>
        <v>0.89934057202114415</v>
      </c>
      <c r="N23" s="5">
        <f t="shared" ref="N23" si="8">+N22/$O$7</f>
        <v>0.99989373961555117</v>
      </c>
    </row>
    <row r="24" spans="2:14" hidden="1" x14ac:dyDescent="0.3"/>
    <row r="25" spans="2:14" hidden="1" x14ac:dyDescent="0.3"/>
    <row r="26" spans="2:14" hidden="1" x14ac:dyDescent="0.3">
      <c r="B26" s="6">
        <v>2022</v>
      </c>
      <c r="C26" s="2" t="s">
        <v>24</v>
      </c>
      <c r="D26" s="2" t="s">
        <v>25</v>
      </c>
      <c r="E26" s="2" t="s">
        <v>28</v>
      </c>
      <c r="F26" s="2" t="s">
        <v>29</v>
      </c>
      <c r="G26" s="2" t="s">
        <v>31</v>
      </c>
      <c r="H26" s="2" t="s">
        <v>32</v>
      </c>
      <c r="I26" s="2" t="s">
        <v>38</v>
      </c>
      <c r="J26" s="2" t="s">
        <v>39</v>
      </c>
      <c r="K26" s="2" t="s">
        <v>40</v>
      </c>
      <c r="L26" s="2" t="s">
        <v>50</v>
      </c>
      <c r="M26" s="2" t="s">
        <v>42</v>
      </c>
      <c r="N26" s="2" t="s">
        <v>43</v>
      </c>
    </row>
    <row r="27" spans="2:14" hidden="1" x14ac:dyDescent="0.3">
      <c r="B27" s="2" t="s">
        <v>47</v>
      </c>
      <c r="C27" s="3">
        <v>543935</v>
      </c>
      <c r="D27" s="3">
        <v>641993</v>
      </c>
      <c r="E27" s="3">
        <v>885481</v>
      </c>
      <c r="F27" s="3">
        <v>533801</v>
      </c>
      <c r="G27" s="3">
        <v>570468</v>
      </c>
      <c r="H27" s="3">
        <v>655466</v>
      </c>
      <c r="I27" s="3">
        <v>604829</v>
      </c>
      <c r="J27" s="3">
        <v>536046</v>
      </c>
      <c r="K27" s="3">
        <v>591148</v>
      </c>
      <c r="L27" s="3">
        <v>529202</v>
      </c>
      <c r="M27" s="3">
        <v>551393</v>
      </c>
      <c r="N27" s="3">
        <v>721128</v>
      </c>
    </row>
    <row r="28" spans="2:14" hidden="1" x14ac:dyDescent="0.3">
      <c r="B28" s="2" t="s">
        <v>45</v>
      </c>
      <c r="C28" s="26">
        <f>+C27</f>
        <v>543935</v>
      </c>
      <c r="D28" s="26">
        <f t="shared" ref="D28:M28" si="9">+D27+C28</f>
        <v>1185928</v>
      </c>
      <c r="E28" s="26">
        <f t="shared" si="9"/>
        <v>2071409</v>
      </c>
      <c r="F28" s="26">
        <f t="shared" si="9"/>
        <v>2605210</v>
      </c>
      <c r="G28" s="26">
        <f t="shared" si="9"/>
        <v>3175678</v>
      </c>
      <c r="H28" s="26">
        <f t="shared" si="9"/>
        <v>3831144</v>
      </c>
      <c r="I28" s="26">
        <f t="shared" si="9"/>
        <v>4435973</v>
      </c>
      <c r="J28" s="26">
        <f t="shared" si="9"/>
        <v>4972019</v>
      </c>
      <c r="K28" s="26">
        <f t="shared" si="9"/>
        <v>5563167</v>
      </c>
      <c r="L28" s="26">
        <f t="shared" si="9"/>
        <v>6092369</v>
      </c>
      <c r="M28" s="26">
        <f t="shared" si="9"/>
        <v>6643762</v>
      </c>
      <c r="N28" s="26">
        <f>+N27+M28</f>
        <v>7364890</v>
      </c>
    </row>
    <row r="29" spans="2:14" hidden="1" x14ac:dyDescent="0.3">
      <c r="B29" s="2" t="s">
        <v>46</v>
      </c>
      <c r="C29" s="5">
        <f>+C28/$P$7</f>
        <v>7.3847511917140798E-2</v>
      </c>
      <c r="D29" s="5">
        <f t="shared" ref="D29:N29" si="10">+D28/$P$7</f>
        <v>0.16100790004848181</v>
      </c>
      <c r="E29" s="5">
        <f t="shared" si="10"/>
        <v>0.28122551557221487</v>
      </c>
      <c r="F29" s="5">
        <f t="shared" si="10"/>
        <v>0.35369718168835312</v>
      </c>
      <c r="G29" s="5">
        <f t="shared" si="10"/>
        <v>0.43114695496704908</v>
      </c>
      <c r="H29" s="5">
        <f t="shared" si="10"/>
        <v>0.52013650931872824</v>
      </c>
      <c r="I29" s="5">
        <f t="shared" si="10"/>
        <v>0.6022513149211115</v>
      </c>
      <c r="J29" s="5">
        <f t="shared" si="10"/>
        <v>0.67502777419131044</v>
      </c>
      <c r="K29" s="5">
        <f t="shared" si="10"/>
        <v>0.75528517438580789</v>
      </c>
      <c r="L29" s="5">
        <f t="shared" si="10"/>
        <v>0.8271324557734272</v>
      </c>
      <c r="M29" s="5">
        <f t="shared" si="10"/>
        <v>0.90199250548254317</v>
      </c>
      <c r="N29" s="5">
        <f t="shared" si="10"/>
        <v>0.99989668258786635</v>
      </c>
    </row>
    <row r="30" spans="2:14" hidden="1" x14ac:dyDescent="0.3"/>
    <row r="31" spans="2:14" hidden="1" x14ac:dyDescent="0.3"/>
    <row r="32" spans="2:14" hidden="1" x14ac:dyDescent="0.3">
      <c r="B32" s="6">
        <v>2023</v>
      </c>
      <c r="C32" s="2" t="s">
        <v>24</v>
      </c>
      <c r="D32" s="2" t="s">
        <v>25</v>
      </c>
      <c r="E32" s="2" t="s">
        <v>28</v>
      </c>
      <c r="F32" s="2" t="s">
        <v>29</v>
      </c>
      <c r="G32" s="2" t="s">
        <v>31</v>
      </c>
      <c r="H32" s="2" t="s">
        <v>32</v>
      </c>
      <c r="I32" s="2" t="s">
        <v>38</v>
      </c>
      <c r="J32" s="2" t="s">
        <v>39</v>
      </c>
      <c r="K32" s="2" t="s">
        <v>40</v>
      </c>
      <c r="L32" s="2" t="s">
        <v>50</v>
      </c>
      <c r="M32" s="2" t="s">
        <v>42</v>
      </c>
      <c r="N32" s="2" t="s">
        <v>43</v>
      </c>
    </row>
    <row r="33" spans="2:14" hidden="1" x14ac:dyDescent="0.3">
      <c r="B33" s="2" t="s">
        <v>47</v>
      </c>
      <c r="C33" s="3">
        <f>588356+36174</f>
        <v>624530</v>
      </c>
      <c r="D33" s="3">
        <v>577811</v>
      </c>
      <c r="E33" s="7">
        <v>861046</v>
      </c>
      <c r="F33" s="3">
        <v>652187</v>
      </c>
      <c r="G33" s="3">
        <v>648536.4</v>
      </c>
      <c r="H33" s="3">
        <v>627436</v>
      </c>
      <c r="I33" s="3">
        <v>565222.19999999995</v>
      </c>
      <c r="J33" s="3">
        <v>585319</v>
      </c>
      <c r="K33" s="3">
        <v>644939</v>
      </c>
      <c r="L33" s="3">
        <v>662820</v>
      </c>
      <c r="M33" s="3">
        <v>673087</v>
      </c>
      <c r="N33" s="3">
        <v>773714</v>
      </c>
    </row>
    <row r="34" spans="2:14" hidden="1" x14ac:dyDescent="0.3">
      <c r="B34" s="2" t="s">
        <v>45</v>
      </c>
      <c r="C34" s="26">
        <f>+C33</f>
        <v>624530</v>
      </c>
      <c r="D34" s="26">
        <f t="shared" ref="D34:N34" si="11">+D33+C34</f>
        <v>1202341</v>
      </c>
      <c r="E34" s="26">
        <f t="shared" si="11"/>
        <v>2063387</v>
      </c>
      <c r="F34" s="26">
        <f t="shared" si="11"/>
        <v>2715574</v>
      </c>
      <c r="G34" s="26">
        <f t="shared" si="11"/>
        <v>3364110.4</v>
      </c>
      <c r="H34" s="26">
        <f t="shared" si="11"/>
        <v>3991546.4</v>
      </c>
      <c r="I34" s="26">
        <f t="shared" si="11"/>
        <v>4556768.5999999996</v>
      </c>
      <c r="J34" s="26">
        <f t="shared" si="11"/>
        <v>5142087.5999999996</v>
      </c>
      <c r="K34" s="26">
        <f t="shared" si="11"/>
        <v>5787026.5999999996</v>
      </c>
      <c r="L34" s="26">
        <f t="shared" si="11"/>
        <v>6449846.5999999996</v>
      </c>
      <c r="M34" s="26">
        <f t="shared" si="11"/>
        <v>7122933.5999999996</v>
      </c>
      <c r="N34" s="26">
        <f t="shared" si="11"/>
        <v>7896647.5999999996</v>
      </c>
    </row>
    <row r="35" spans="2:14" hidden="1" x14ac:dyDescent="0.3">
      <c r="B35" s="2" t="s">
        <v>46</v>
      </c>
      <c r="C35" s="5">
        <f>+C34/$Q$7</f>
        <v>7.9087767375362023E-2</v>
      </c>
      <c r="D35" s="5">
        <f t="shared" ref="D35:M35" si="12">+D34/$Q$7</f>
        <v>0.15225924345325309</v>
      </c>
      <c r="E35" s="5">
        <f t="shared" si="12"/>
        <v>0.26129837007244827</v>
      </c>
      <c r="F35" s="5">
        <f t="shared" si="12"/>
        <v>0.34388849983600683</v>
      </c>
      <c r="G35" s="5">
        <f t="shared" si="12"/>
        <v>0.42601633346714501</v>
      </c>
      <c r="H35" s="5">
        <f t="shared" si="12"/>
        <v>0.50547210406411813</v>
      </c>
      <c r="I35" s="5">
        <f t="shared" si="12"/>
        <v>0.57704938917290449</v>
      </c>
      <c r="J35" s="5">
        <f t="shared" si="12"/>
        <v>0.65117164576967246</v>
      </c>
      <c r="K35" s="5">
        <f t="shared" si="12"/>
        <v>0.73284392028538603</v>
      </c>
      <c r="L35" s="5">
        <f t="shared" si="12"/>
        <v>0.81678056699849422</v>
      </c>
      <c r="M35" s="5">
        <f t="shared" si="12"/>
        <v>0.90201738201039172</v>
      </c>
      <c r="N35" s="5">
        <f>+N34/$Q$7</f>
        <v>0.99999716336126487</v>
      </c>
    </row>
    <row r="38" spans="2:14" x14ac:dyDescent="0.3">
      <c r="B38" s="6">
        <v>2024</v>
      </c>
      <c r="C38" s="2" t="s">
        <v>24</v>
      </c>
      <c r="D38" s="2" t="s">
        <v>25</v>
      </c>
      <c r="E38" s="2" t="s">
        <v>28</v>
      </c>
      <c r="F38" s="2" t="s">
        <v>29</v>
      </c>
      <c r="G38" s="2" t="s">
        <v>31</v>
      </c>
      <c r="H38" s="2" t="s">
        <v>32</v>
      </c>
      <c r="I38" s="2" t="s">
        <v>38</v>
      </c>
      <c r="J38" s="2" t="s">
        <v>39</v>
      </c>
      <c r="K38" s="2" t="s">
        <v>40</v>
      </c>
      <c r="L38" s="2" t="s">
        <v>50</v>
      </c>
      <c r="M38" s="2" t="s">
        <v>42</v>
      </c>
      <c r="N38" s="2" t="s">
        <v>43</v>
      </c>
    </row>
    <row r="39" spans="2:14" x14ac:dyDescent="0.3">
      <c r="B39" s="2" t="s">
        <v>47</v>
      </c>
      <c r="C39" s="3">
        <v>601830</v>
      </c>
      <c r="D39" s="3">
        <v>668091</v>
      </c>
      <c r="E39" s="7">
        <v>924883</v>
      </c>
      <c r="F39" s="3">
        <v>692684</v>
      </c>
      <c r="G39" s="3">
        <v>667927</v>
      </c>
      <c r="H39" s="3">
        <v>652729</v>
      </c>
      <c r="I39" s="3">
        <v>669573</v>
      </c>
      <c r="J39" s="3">
        <v>680461</v>
      </c>
      <c r="K39" s="3">
        <v>684551</v>
      </c>
      <c r="L39" s="3">
        <v>655911</v>
      </c>
      <c r="M39" s="3">
        <v>640472</v>
      </c>
      <c r="N39" s="3">
        <v>786708</v>
      </c>
    </row>
    <row r="40" spans="2:14" x14ac:dyDescent="0.3">
      <c r="B40" s="2" t="s">
        <v>45</v>
      </c>
      <c r="C40" s="26">
        <f>+C39</f>
        <v>601830</v>
      </c>
      <c r="D40" s="26">
        <f>+D39+C40</f>
        <v>1269921</v>
      </c>
      <c r="E40" s="26">
        <f t="shared" ref="E40:N40" si="13">+E39+D40</f>
        <v>2194804</v>
      </c>
      <c r="F40" s="26">
        <f t="shared" si="13"/>
        <v>2887488</v>
      </c>
      <c r="G40" s="26">
        <f t="shared" si="13"/>
        <v>3555415</v>
      </c>
      <c r="H40" s="26">
        <f t="shared" si="13"/>
        <v>4208144</v>
      </c>
      <c r="I40" s="26">
        <f t="shared" si="13"/>
        <v>4877717</v>
      </c>
      <c r="J40" s="26">
        <f t="shared" si="13"/>
        <v>5558178</v>
      </c>
      <c r="K40" s="26">
        <f t="shared" si="13"/>
        <v>6242729</v>
      </c>
      <c r="L40" s="26">
        <f t="shared" si="13"/>
        <v>6898640</v>
      </c>
      <c r="M40" s="26">
        <f t="shared" si="13"/>
        <v>7539112</v>
      </c>
      <c r="N40" s="26">
        <f t="shared" si="13"/>
        <v>8325820</v>
      </c>
    </row>
    <row r="41" spans="2:14" x14ac:dyDescent="0.3">
      <c r="B41" s="2" t="s">
        <v>46</v>
      </c>
      <c r="C41" s="5">
        <f>+C40/$R$7</f>
        <v>7.228466776653672E-2</v>
      </c>
      <c r="D41" s="5">
        <f t="shared" ref="D41:N41" si="14">+D40/$R$7</f>
        <v>0.15252781944194888</v>
      </c>
      <c r="E41" s="5">
        <f t="shared" si="14"/>
        <v>0.2636137745753217</v>
      </c>
      <c r="F41" s="5">
        <f t="shared" si="14"/>
        <v>0.34681074516036353</v>
      </c>
      <c r="G41" s="5">
        <f t="shared" si="14"/>
        <v>0.42703419910466606</v>
      </c>
      <c r="H41" s="5">
        <f t="shared" si="14"/>
        <v>0.50543224989406466</v>
      </c>
      <c r="I41" s="5">
        <f t="shared" si="14"/>
        <v>0.58585340179816259</v>
      </c>
      <c r="J41" s="5">
        <f t="shared" si="14"/>
        <v>0.66758229087495402</v>
      </c>
      <c r="K41" s="5">
        <f t="shared" si="14"/>
        <v>0.74980242214832105</v>
      </c>
      <c r="L41" s="5">
        <f t="shared" si="14"/>
        <v>0.82858265696449318</v>
      </c>
      <c r="M41" s="5">
        <f t="shared" si="14"/>
        <v>0.9055085425696795</v>
      </c>
      <c r="N41" s="5">
        <f t="shared" si="14"/>
        <v>0.99999855870260168</v>
      </c>
    </row>
    <row r="43" spans="2:14" x14ac:dyDescent="0.3">
      <c r="B43" s="6">
        <v>2025</v>
      </c>
      <c r="C43" s="2" t="s">
        <v>24</v>
      </c>
      <c r="D43" s="2" t="s">
        <v>25</v>
      </c>
      <c r="E43" s="2" t="s">
        <v>28</v>
      </c>
      <c r="F43" s="2" t="s">
        <v>29</v>
      </c>
      <c r="G43" s="2" t="s">
        <v>31</v>
      </c>
      <c r="H43" s="2" t="s">
        <v>32</v>
      </c>
      <c r="I43" s="2" t="s">
        <v>38</v>
      </c>
      <c r="J43" s="2" t="s">
        <v>39</v>
      </c>
      <c r="K43" s="2" t="s">
        <v>40</v>
      </c>
      <c r="L43" s="2" t="s">
        <v>50</v>
      </c>
      <c r="M43" s="2" t="s">
        <v>42</v>
      </c>
      <c r="N43" s="2" t="s">
        <v>43</v>
      </c>
    </row>
    <row r="44" spans="2:14" x14ac:dyDescent="0.3">
      <c r="B44" s="2" t="s">
        <v>47</v>
      </c>
      <c r="C44" s="3">
        <v>718019.46900000004</v>
      </c>
      <c r="D44" s="3">
        <v>632607</v>
      </c>
      <c r="E44" s="7">
        <v>1002916</v>
      </c>
      <c r="F44" s="3">
        <v>663679</v>
      </c>
      <c r="G44" s="3">
        <v>658663</v>
      </c>
      <c r="H44" s="3"/>
      <c r="I44" s="3"/>
      <c r="J44" s="3"/>
      <c r="K44" s="3"/>
      <c r="L44" s="3"/>
      <c r="M44" s="3"/>
      <c r="N44" s="3"/>
    </row>
    <row r="45" spans="2:14" x14ac:dyDescent="0.3">
      <c r="B45" s="2" t="s">
        <v>45</v>
      </c>
      <c r="C45" s="26">
        <f>+C44</f>
        <v>718019.46900000004</v>
      </c>
      <c r="D45" s="26">
        <f>+D44+C45</f>
        <v>1350626.469</v>
      </c>
      <c r="E45" s="26">
        <f>+E44+D45</f>
        <v>2353542.469</v>
      </c>
      <c r="F45" s="26">
        <f>+F44+E45</f>
        <v>3017221.469</v>
      </c>
      <c r="G45" s="26">
        <f>+G44+F45</f>
        <v>3675884.469</v>
      </c>
      <c r="H45" s="26"/>
      <c r="I45" s="26"/>
      <c r="J45" s="26"/>
      <c r="K45" s="26"/>
      <c r="L45" s="26"/>
      <c r="M45" s="26"/>
      <c r="N45" s="26"/>
    </row>
    <row r="46" spans="2:14" x14ac:dyDescent="0.3">
      <c r="B46" s="2" t="s">
        <v>46</v>
      </c>
      <c r="C46" s="5">
        <f>+C45/S7</f>
        <v>8.4905436946060259E-2</v>
      </c>
      <c r="D46" s="5">
        <f>+D45/$S$7</f>
        <v>0.15971089288298881</v>
      </c>
      <c r="E46" s="5">
        <f t="shared" ref="E46:N46" si="15">+E45/$S$7</f>
        <v>0.27830519969028095</v>
      </c>
      <c r="F46" s="5">
        <f t="shared" si="15"/>
        <v>0.35678490382059375</v>
      </c>
      <c r="G46" s="5">
        <f t="shared" si="15"/>
        <v>0.43467146850259253</v>
      </c>
      <c r="H46" s="5">
        <f t="shared" si="15"/>
        <v>0</v>
      </c>
      <c r="I46" s="5">
        <f t="shared" si="15"/>
        <v>0</v>
      </c>
      <c r="J46" s="5">
        <f t="shared" si="15"/>
        <v>0</v>
      </c>
      <c r="K46" s="5">
        <f t="shared" si="15"/>
        <v>0</v>
      </c>
      <c r="L46" s="5">
        <f t="shared" si="15"/>
        <v>0</v>
      </c>
      <c r="M46" s="5">
        <f t="shared" si="15"/>
        <v>0</v>
      </c>
      <c r="N46" s="5">
        <f t="shared" si="15"/>
        <v>0</v>
      </c>
    </row>
  </sheetData>
  <phoneticPr fontId="3" type="noConversion"/>
  <pageMargins left="0.7" right="0.7" top="0.75" bottom="0.75" header="0.3" footer="0.3"/>
  <pageSetup paperSize="9" orientation="portrait" r:id="rId1"/>
  <ignoredErrors>
    <ignoredError sqref="C7 D7:O7 P7:Q7 S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2"/>
  <sheetViews>
    <sheetView topLeftCell="E36" zoomScale="90" zoomScaleNormal="90" workbookViewId="0">
      <selection activeCell="U64" sqref="U64"/>
    </sheetView>
  </sheetViews>
  <sheetFormatPr baseColWidth="10" defaultColWidth="11.453125" defaultRowHeight="13" x14ac:dyDescent="0.3"/>
  <cols>
    <col min="1" max="1" width="2.453125" style="33" customWidth="1"/>
    <col min="2" max="2" width="17.7265625" style="33" bestFit="1" customWidth="1"/>
    <col min="3" max="3" width="34.26953125" style="33" customWidth="1"/>
    <col min="4" max="4" width="17.26953125" style="33" customWidth="1"/>
    <col min="5" max="5" width="11.453125" style="33"/>
    <col min="6" max="6" width="26.7265625" style="33" bestFit="1" customWidth="1"/>
    <col min="7" max="7" width="60" style="33" bestFit="1" customWidth="1"/>
    <col min="8" max="8" width="15.453125" style="33" customWidth="1"/>
    <col min="9" max="9" width="16.7265625" style="33" customWidth="1"/>
    <col min="10" max="10" width="16.26953125" style="33" customWidth="1"/>
    <col min="11" max="11" width="16.54296875" style="33" customWidth="1"/>
    <col min="12" max="12" width="12.7265625" style="33" customWidth="1"/>
    <col min="13" max="13" width="11.453125" style="33"/>
    <col min="14" max="14" width="16.26953125" style="33" customWidth="1"/>
    <col min="15" max="15" width="11.54296875" style="33" customWidth="1"/>
    <col min="16" max="16" width="12.7265625" style="33" customWidth="1"/>
    <col min="17" max="17" width="11.26953125" style="33" customWidth="1"/>
    <col min="18" max="18" width="14.7265625" style="33" customWidth="1"/>
    <col min="19" max="19" width="15.7265625" style="33" customWidth="1"/>
    <col min="20" max="20" width="11.453125" style="33"/>
    <col min="21" max="21" width="12.26953125" style="33" bestFit="1" customWidth="1"/>
    <col min="22" max="16384" width="11.453125" style="33"/>
  </cols>
  <sheetData>
    <row r="1" spans="2:19" ht="17.25" customHeight="1" x14ac:dyDescent="0.3">
      <c r="R1" s="34"/>
    </row>
    <row r="2" spans="2:19" ht="26.25" customHeight="1" x14ac:dyDescent="0.3">
      <c r="B2" s="35" t="s">
        <v>2</v>
      </c>
      <c r="C2" s="35" t="s">
        <v>3</v>
      </c>
      <c r="D2" s="35" t="s">
        <v>4</v>
      </c>
      <c r="E2" s="35" t="s">
        <v>5</v>
      </c>
      <c r="F2" s="35" t="s">
        <v>22</v>
      </c>
      <c r="G2" s="35" t="s">
        <v>6</v>
      </c>
      <c r="H2" s="35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35" t="s">
        <v>12</v>
      </c>
      <c r="N2" s="35" t="s">
        <v>13</v>
      </c>
      <c r="O2" s="35" t="s">
        <v>14</v>
      </c>
      <c r="P2" s="35" t="s">
        <v>15</v>
      </c>
      <c r="Q2" s="35" t="s">
        <v>51</v>
      </c>
      <c r="R2" s="35" t="s">
        <v>54</v>
      </c>
      <c r="S2" s="35" t="s">
        <v>53</v>
      </c>
    </row>
    <row r="3" spans="2:19" ht="15" customHeight="1" x14ac:dyDescent="0.35">
      <c r="B3" s="39" t="s">
        <v>72</v>
      </c>
      <c r="C3" s="40" t="s">
        <v>73</v>
      </c>
      <c r="D3" s="41" t="s">
        <v>57</v>
      </c>
      <c r="E3" s="39" t="s">
        <v>74</v>
      </c>
      <c r="F3" s="39" t="s">
        <v>75</v>
      </c>
      <c r="G3" s="42" t="s">
        <v>76</v>
      </c>
      <c r="H3" s="39" t="s">
        <v>77</v>
      </c>
      <c r="I3" s="43">
        <v>45677.414803240739</v>
      </c>
      <c r="J3" s="43">
        <v>45677.48201388889</v>
      </c>
      <c r="K3" s="44">
        <v>402956</v>
      </c>
      <c r="L3" s="44">
        <v>0</v>
      </c>
      <c r="M3" s="44">
        <v>0</v>
      </c>
      <c r="N3" s="44">
        <v>76561.64</v>
      </c>
      <c r="O3" s="44">
        <v>0</v>
      </c>
      <c r="P3" s="44">
        <v>479517.64</v>
      </c>
      <c r="Q3" s="42" t="s">
        <v>108</v>
      </c>
      <c r="R3" s="42" t="s">
        <v>108</v>
      </c>
      <c r="S3" s="45">
        <f>+P3</f>
        <v>479517.64</v>
      </c>
    </row>
    <row r="4" spans="2:19" ht="15" customHeight="1" x14ac:dyDescent="0.35">
      <c r="B4" s="39" t="s">
        <v>78</v>
      </c>
      <c r="C4" s="40" t="s">
        <v>79</v>
      </c>
      <c r="D4" s="41" t="s">
        <v>57</v>
      </c>
      <c r="E4" s="39" t="s">
        <v>74</v>
      </c>
      <c r="F4" s="39" t="s">
        <v>75</v>
      </c>
      <c r="G4" s="42" t="s">
        <v>80</v>
      </c>
      <c r="H4" s="39" t="s">
        <v>81</v>
      </c>
      <c r="I4" s="43">
        <v>45677.414560185185</v>
      </c>
      <c r="J4" s="43">
        <v>45677.475370370368</v>
      </c>
      <c r="K4" s="44">
        <v>534608</v>
      </c>
      <c r="L4" s="44">
        <v>0</v>
      </c>
      <c r="M4" s="44">
        <v>0</v>
      </c>
      <c r="N4" s="44">
        <v>101575.52</v>
      </c>
      <c r="O4" s="44">
        <v>0</v>
      </c>
      <c r="P4" s="44">
        <v>636183.52</v>
      </c>
      <c r="Q4" s="42" t="s">
        <v>108</v>
      </c>
      <c r="R4" s="42" t="s">
        <v>108</v>
      </c>
      <c r="S4" s="45">
        <f t="shared" ref="S4:S14" si="0">+P4</f>
        <v>636183.52</v>
      </c>
    </row>
    <row r="5" spans="2:19" ht="15" customHeight="1" x14ac:dyDescent="0.35">
      <c r="B5" s="39" t="s">
        <v>82</v>
      </c>
      <c r="C5" s="40" t="s">
        <v>83</v>
      </c>
      <c r="D5" s="41" t="s">
        <v>55</v>
      </c>
      <c r="E5" s="39" t="s">
        <v>74</v>
      </c>
      <c r="F5" s="39" t="s">
        <v>75</v>
      </c>
      <c r="G5" s="42" t="s">
        <v>84</v>
      </c>
      <c r="H5" s="39" t="s">
        <v>85</v>
      </c>
      <c r="I5" s="43">
        <v>45671.747696759259</v>
      </c>
      <c r="J5" s="43">
        <v>45672.405706018515</v>
      </c>
      <c r="K5" s="44">
        <v>166474</v>
      </c>
      <c r="L5" s="44">
        <v>0</v>
      </c>
      <c r="M5" s="44">
        <v>13300</v>
      </c>
      <c r="N5" s="44">
        <v>0</v>
      </c>
      <c r="O5" s="44">
        <v>0</v>
      </c>
      <c r="P5" s="44">
        <v>179774</v>
      </c>
      <c r="Q5" s="42" t="s">
        <v>108</v>
      </c>
      <c r="R5" s="42" t="s">
        <v>108</v>
      </c>
      <c r="S5" s="45">
        <f t="shared" si="0"/>
        <v>179774</v>
      </c>
    </row>
    <row r="6" spans="2:19" ht="15" customHeight="1" x14ac:dyDescent="0.35">
      <c r="B6" s="39" t="s">
        <v>86</v>
      </c>
      <c r="C6" s="40" t="s">
        <v>87</v>
      </c>
      <c r="D6" s="41" t="s">
        <v>55</v>
      </c>
      <c r="E6" s="39" t="s">
        <v>74</v>
      </c>
      <c r="F6" s="39" t="s">
        <v>75</v>
      </c>
      <c r="G6" s="42" t="s">
        <v>84</v>
      </c>
      <c r="H6" s="39" t="s">
        <v>85</v>
      </c>
      <c r="I6" s="43">
        <v>45667.574641203704</v>
      </c>
      <c r="J6" s="43">
        <v>45667.696701388886</v>
      </c>
      <c r="K6" s="44">
        <v>82229</v>
      </c>
      <c r="L6" s="44">
        <v>0</v>
      </c>
      <c r="M6" s="44">
        <v>5753</v>
      </c>
      <c r="N6" s="44">
        <v>0</v>
      </c>
      <c r="O6" s="44">
        <v>0</v>
      </c>
      <c r="P6" s="44">
        <v>87982</v>
      </c>
      <c r="Q6" s="42" t="s">
        <v>108</v>
      </c>
      <c r="R6" s="42" t="s">
        <v>108</v>
      </c>
      <c r="S6" s="45">
        <f t="shared" si="0"/>
        <v>87982</v>
      </c>
    </row>
    <row r="7" spans="2:19" ht="15" customHeight="1" x14ac:dyDescent="0.35">
      <c r="B7" s="39" t="s">
        <v>88</v>
      </c>
      <c r="C7" s="40" t="s">
        <v>89</v>
      </c>
      <c r="D7" s="41" t="s">
        <v>55</v>
      </c>
      <c r="E7" s="39" t="s">
        <v>74</v>
      </c>
      <c r="F7" s="39" t="s">
        <v>75</v>
      </c>
      <c r="G7" s="42" t="s">
        <v>84</v>
      </c>
      <c r="H7" s="39" t="s">
        <v>85</v>
      </c>
      <c r="I7" s="43">
        <v>45667.571608796294</v>
      </c>
      <c r="J7" s="43">
        <v>45667.695937500001</v>
      </c>
      <c r="K7" s="44">
        <v>93091</v>
      </c>
      <c r="L7" s="44">
        <v>0</v>
      </c>
      <c r="M7" s="44">
        <v>7547</v>
      </c>
      <c r="N7" s="44">
        <v>0</v>
      </c>
      <c r="O7" s="44">
        <v>0</v>
      </c>
      <c r="P7" s="44">
        <v>100638</v>
      </c>
      <c r="Q7" s="42" t="s">
        <v>108</v>
      </c>
      <c r="R7" s="42" t="s">
        <v>108</v>
      </c>
      <c r="S7" s="45">
        <f t="shared" si="0"/>
        <v>100638</v>
      </c>
    </row>
    <row r="8" spans="2:19" ht="15" customHeight="1" x14ac:dyDescent="0.35">
      <c r="B8" s="39" t="s">
        <v>90</v>
      </c>
      <c r="C8" s="40" t="s">
        <v>91</v>
      </c>
      <c r="D8" s="41" t="s">
        <v>57</v>
      </c>
      <c r="E8" s="39" t="s">
        <v>74</v>
      </c>
      <c r="F8" s="39" t="s">
        <v>75</v>
      </c>
      <c r="G8" s="42" t="s">
        <v>92</v>
      </c>
      <c r="H8" s="39" t="s">
        <v>93</v>
      </c>
      <c r="I8" s="43">
        <v>45665.644247685188</v>
      </c>
      <c r="J8" s="43">
        <v>45665.688113425924</v>
      </c>
      <c r="K8" s="44">
        <v>1748000</v>
      </c>
      <c r="L8" s="44">
        <v>0</v>
      </c>
      <c r="M8" s="44">
        <v>0</v>
      </c>
      <c r="N8" s="44">
        <v>332120</v>
      </c>
      <c r="O8" s="44">
        <v>0</v>
      </c>
      <c r="P8" s="44">
        <v>2080120</v>
      </c>
      <c r="Q8" s="42" t="s">
        <v>108</v>
      </c>
      <c r="R8" s="42" t="s">
        <v>108</v>
      </c>
      <c r="S8" s="45">
        <f t="shared" si="0"/>
        <v>2080120</v>
      </c>
    </row>
    <row r="9" spans="2:19" ht="15" customHeight="1" x14ac:dyDescent="0.35">
      <c r="B9" s="39" t="s">
        <v>94</v>
      </c>
      <c r="C9" s="40" t="s">
        <v>95</v>
      </c>
      <c r="D9" s="41" t="s">
        <v>55</v>
      </c>
      <c r="E9" s="39" t="s">
        <v>74</v>
      </c>
      <c r="F9" s="39" t="s">
        <v>75</v>
      </c>
      <c r="G9" s="42" t="s">
        <v>84</v>
      </c>
      <c r="H9" s="39" t="s">
        <v>85</v>
      </c>
      <c r="I9" s="43">
        <v>45663.759756944448</v>
      </c>
      <c r="J9" s="43">
        <v>45663.767025462963</v>
      </c>
      <c r="K9" s="44">
        <v>87001</v>
      </c>
      <c r="L9" s="44">
        <v>0</v>
      </c>
      <c r="M9" s="44">
        <v>5696</v>
      </c>
      <c r="N9" s="44">
        <v>0</v>
      </c>
      <c r="O9" s="44">
        <v>0</v>
      </c>
      <c r="P9" s="44">
        <v>92697</v>
      </c>
      <c r="Q9" s="42" t="s">
        <v>108</v>
      </c>
      <c r="R9" s="42" t="s">
        <v>108</v>
      </c>
      <c r="S9" s="45">
        <f t="shared" si="0"/>
        <v>92697</v>
      </c>
    </row>
    <row r="10" spans="2:19" ht="15" customHeight="1" x14ac:dyDescent="0.35">
      <c r="B10" s="39" t="s">
        <v>96</v>
      </c>
      <c r="C10" s="40" t="s">
        <v>97</v>
      </c>
      <c r="D10" s="41" t="s">
        <v>55</v>
      </c>
      <c r="E10" s="39" t="s">
        <v>74</v>
      </c>
      <c r="F10" s="39" t="s">
        <v>75</v>
      </c>
      <c r="G10" s="42" t="s">
        <v>84</v>
      </c>
      <c r="H10" s="39" t="s">
        <v>85</v>
      </c>
      <c r="I10" s="43">
        <v>45663.755972222221</v>
      </c>
      <c r="J10" s="43">
        <v>45663.76761574074</v>
      </c>
      <c r="K10" s="44">
        <v>74091</v>
      </c>
      <c r="L10" s="44">
        <v>0</v>
      </c>
      <c r="M10" s="44">
        <v>7472</v>
      </c>
      <c r="N10" s="44">
        <v>0</v>
      </c>
      <c r="O10" s="44">
        <v>0</v>
      </c>
      <c r="P10" s="44">
        <v>81563</v>
      </c>
      <c r="Q10" s="42" t="s">
        <v>108</v>
      </c>
      <c r="R10" s="42" t="s">
        <v>108</v>
      </c>
      <c r="S10" s="45">
        <f t="shared" si="0"/>
        <v>81563</v>
      </c>
    </row>
    <row r="11" spans="2:19" ht="15" customHeight="1" x14ac:dyDescent="0.35">
      <c r="B11" s="39" t="s">
        <v>98</v>
      </c>
      <c r="C11" s="40" t="s">
        <v>99</v>
      </c>
      <c r="D11" s="41" t="s">
        <v>57</v>
      </c>
      <c r="E11" s="39" t="s">
        <v>74</v>
      </c>
      <c r="F11" s="39" t="s">
        <v>75</v>
      </c>
      <c r="G11" s="42" t="s">
        <v>100</v>
      </c>
      <c r="H11" s="39" t="s">
        <v>101</v>
      </c>
      <c r="I11" s="43">
        <v>45660.523946759262</v>
      </c>
      <c r="J11" s="43">
        <v>45660.779803240737</v>
      </c>
      <c r="K11" s="44">
        <v>217900</v>
      </c>
      <c r="L11" s="44">
        <v>0</v>
      </c>
      <c r="M11" s="44">
        <v>0</v>
      </c>
      <c r="N11" s="44">
        <v>41401</v>
      </c>
      <c r="O11" s="44">
        <v>0</v>
      </c>
      <c r="P11" s="44">
        <v>259301</v>
      </c>
      <c r="Q11" s="42" t="s">
        <v>108</v>
      </c>
      <c r="R11" s="42" t="s">
        <v>108</v>
      </c>
      <c r="S11" s="45">
        <f t="shared" si="0"/>
        <v>259301</v>
      </c>
    </row>
    <row r="12" spans="2:19" ht="15" customHeight="1" x14ac:dyDescent="0.35">
      <c r="B12" s="39" t="s">
        <v>102</v>
      </c>
      <c r="C12" s="40" t="s">
        <v>103</v>
      </c>
      <c r="D12" s="41" t="s">
        <v>55</v>
      </c>
      <c r="E12" s="39" t="s">
        <v>74</v>
      </c>
      <c r="F12" s="39" t="s">
        <v>75</v>
      </c>
      <c r="G12" s="42" t="s">
        <v>84</v>
      </c>
      <c r="H12" s="39" t="s">
        <v>85</v>
      </c>
      <c r="I12" s="43">
        <v>45660.45989583333</v>
      </c>
      <c r="J12" s="43">
        <v>45660.4684375</v>
      </c>
      <c r="K12" s="44">
        <v>53276</v>
      </c>
      <c r="L12" s="44">
        <v>0</v>
      </c>
      <c r="M12" s="44">
        <v>5696</v>
      </c>
      <c r="N12" s="44">
        <v>0</v>
      </c>
      <c r="O12" s="44">
        <v>0</v>
      </c>
      <c r="P12" s="44">
        <v>58972</v>
      </c>
      <c r="Q12" s="42" t="s">
        <v>108</v>
      </c>
      <c r="R12" s="42" t="s">
        <v>108</v>
      </c>
      <c r="S12" s="45">
        <f t="shared" si="0"/>
        <v>58972</v>
      </c>
    </row>
    <row r="13" spans="2:19" ht="15" customHeight="1" x14ac:dyDescent="0.35">
      <c r="B13" s="39" t="s">
        <v>104</v>
      </c>
      <c r="C13" s="40" t="s">
        <v>105</v>
      </c>
      <c r="D13" s="41" t="s">
        <v>55</v>
      </c>
      <c r="E13" s="39" t="s">
        <v>74</v>
      </c>
      <c r="F13" s="39" t="s">
        <v>75</v>
      </c>
      <c r="G13" s="42" t="s">
        <v>84</v>
      </c>
      <c r="H13" s="39" t="s">
        <v>85</v>
      </c>
      <c r="I13" s="43">
        <v>45660.457604166666</v>
      </c>
      <c r="J13" s="43">
        <v>45660.468854166669</v>
      </c>
      <c r="K13" s="44">
        <v>55745</v>
      </c>
      <c r="L13" s="44">
        <v>0</v>
      </c>
      <c r="M13" s="44">
        <v>7472</v>
      </c>
      <c r="N13" s="44">
        <v>0</v>
      </c>
      <c r="O13" s="44">
        <v>0</v>
      </c>
      <c r="P13" s="44">
        <v>63217</v>
      </c>
      <c r="Q13" s="42" t="s">
        <v>108</v>
      </c>
      <c r="R13" s="42" t="s">
        <v>108</v>
      </c>
      <c r="S13" s="45">
        <f t="shared" si="0"/>
        <v>63217</v>
      </c>
    </row>
    <row r="14" spans="2:19" ht="15" customHeight="1" x14ac:dyDescent="0.35">
      <c r="B14" s="39" t="s">
        <v>106</v>
      </c>
      <c r="C14" s="40" t="s">
        <v>107</v>
      </c>
      <c r="D14" s="41" t="s">
        <v>55</v>
      </c>
      <c r="E14" s="39" t="s">
        <v>74</v>
      </c>
      <c r="F14" s="39" t="s">
        <v>75</v>
      </c>
      <c r="G14" s="42" t="s">
        <v>84</v>
      </c>
      <c r="H14" s="39" t="s">
        <v>85</v>
      </c>
      <c r="I14" s="43">
        <v>45659.73673611111</v>
      </c>
      <c r="J14" s="43">
        <v>45659.743067129632</v>
      </c>
      <c r="K14" s="44">
        <v>125382</v>
      </c>
      <c r="L14" s="44">
        <v>0</v>
      </c>
      <c r="M14" s="44">
        <v>14944</v>
      </c>
      <c r="N14" s="44">
        <v>0</v>
      </c>
      <c r="O14" s="44">
        <v>0</v>
      </c>
      <c r="P14" s="44">
        <v>140326</v>
      </c>
      <c r="Q14" s="42" t="s">
        <v>108</v>
      </c>
      <c r="R14" s="42" t="s">
        <v>108</v>
      </c>
      <c r="S14" s="45">
        <f t="shared" si="0"/>
        <v>140326</v>
      </c>
    </row>
    <row r="15" spans="2:19" ht="15" customHeight="1" thickBot="1" x14ac:dyDescent="0.35">
      <c r="B15" s="78" t="s">
        <v>56</v>
      </c>
      <c r="C15" s="50"/>
      <c r="D15" s="50">
        <f>COUNTA(D3:D14)</f>
        <v>12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79"/>
      <c r="Q15" s="50"/>
      <c r="R15" s="50"/>
      <c r="S15" s="47">
        <f>SUM(S3:S14)</f>
        <v>4260291.16</v>
      </c>
    </row>
    <row r="16" spans="2:19" ht="15" customHeight="1" x14ac:dyDescent="0.35">
      <c r="B16" s="39" t="s">
        <v>109</v>
      </c>
      <c r="C16" s="40" t="s">
        <v>110</v>
      </c>
      <c r="D16" s="41" t="s">
        <v>57</v>
      </c>
      <c r="E16" s="39" t="s">
        <v>74</v>
      </c>
      <c r="F16" s="39" t="s">
        <v>75</v>
      </c>
      <c r="G16" s="42" t="s">
        <v>111</v>
      </c>
      <c r="H16" s="39" t="s">
        <v>112</v>
      </c>
      <c r="I16" s="43">
        <v>45713.532175925924</v>
      </c>
      <c r="J16" s="43">
        <v>45713.571180555555</v>
      </c>
      <c r="K16" s="44">
        <v>530000</v>
      </c>
      <c r="L16" s="44">
        <v>0</v>
      </c>
      <c r="M16" s="44">
        <v>0</v>
      </c>
      <c r="N16" s="44">
        <v>100700</v>
      </c>
      <c r="O16" s="44">
        <v>0</v>
      </c>
      <c r="P16" s="44">
        <v>630700</v>
      </c>
      <c r="Q16" s="42" t="s">
        <v>108</v>
      </c>
      <c r="R16" s="42" t="s">
        <v>108</v>
      </c>
      <c r="S16" s="45">
        <f>+P16</f>
        <v>630700</v>
      </c>
    </row>
    <row r="17" spans="2:19" ht="15" customHeight="1" x14ac:dyDescent="0.35">
      <c r="B17" s="39" t="s">
        <v>113</v>
      </c>
      <c r="C17" s="40" t="s">
        <v>114</v>
      </c>
      <c r="D17" s="41" t="s">
        <v>57</v>
      </c>
      <c r="E17" s="39" t="s">
        <v>74</v>
      </c>
      <c r="F17" s="39" t="s">
        <v>75</v>
      </c>
      <c r="G17" s="42" t="s">
        <v>115</v>
      </c>
      <c r="H17" s="39" t="s">
        <v>116</v>
      </c>
      <c r="I17" s="43">
        <v>45705.65997685185</v>
      </c>
      <c r="J17" s="43">
        <v>45705.670497685183</v>
      </c>
      <c r="K17" s="44">
        <v>1359783</v>
      </c>
      <c r="L17" s="44">
        <v>0</v>
      </c>
      <c r="M17" s="44">
        <v>0</v>
      </c>
      <c r="N17" s="44">
        <v>258358.77</v>
      </c>
      <c r="O17" s="44">
        <v>0</v>
      </c>
      <c r="P17" s="44">
        <v>1618141.77</v>
      </c>
      <c r="Q17" s="42" t="s">
        <v>108</v>
      </c>
      <c r="R17" s="42" t="s">
        <v>108</v>
      </c>
      <c r="S17" s="45">
        <f t="shared" ref="S17:S19" si="1">+P17</f>
        <v>1618141.77</v>
      </c>
    </row>
    <row r="18" spans="2:19" ht="15" customHeight="1" x14ac:dyDescent="0.35">
      <c r="B18" s="39" t="s">
        <v>117</v>
      </c>
      <c r="C18" s="40" t="s">
        <v>118</v>
      </c>
      <c r="D18" s="41" t="s">
        <v>27</v>
      </c>
      <c r="E18" s="39" t="s">
        <v>74</v>
      </c>
      <c r="F18" s="39" t="s">
        <v>75</v>
      </c>
      <c r="G18" s="42" t="s">
        <v>119</v>
      </c>
      <c r="H18" s="39" t="s">
        <v>120</v>
      </c>
      <c r="I18" s="43">
        <v>45692.765706018516</v>
      </c>
      <c r="J18" s="43">
        <v>45705.441435185188</v>
      </c>
      <c r="K18" s="44">
        <v>486564834.5</v>
      </c>
      <c r="L18" s="44">
        <v>0</v>
      </c>
      <c r="M18" s="44">
        <v>0</v>
      </c>
      <c r="N18" s="44">
        <v>92447318.555000007</v>
      </c>
      <c r="O18" s="44">
        <v>0</v>
      </c>
      <c r="P18" s="44">
        <v>579012153.05499995</v>
      </c>
      <c r="Q18" s="42" t="s">
        <v>108</v>
      </c>
      <c r="R18" s="42" t="s">
        <v>108</v>
      </c>
      <c r="S18" s="45">
        <f t="shared" si="1"/>
        <v>579012153.05499995</v>
      </c>
    </row>
    <row r="19" spans="2:19" ht="15" customHeight="1" x14ac:dyDescent="0.35">
      <c r="B19" s="39" t="s">
        <v>121</v>
      </c>
      <c r="C19" s="40" t="s">
        <v>122</v>
      </c>
      <c r="D19" s="41" t="s">
        <v>57</v>
      </c>
      <c r="E19" s="39" t="s">
        <v>74</v>
      </c>
      <c r="F19" s="39" t="s">
        <v>75</v>
      </c>
      <c r="G19" s="42" t="s">
        <v>123</v>
      </c>
      <c r="H19" s="39" t="s">
        <v>124</v>
      </c>
      <c r="I19" s="43">
        <v>45692.428229166668</v>
      </c>
      <c r="J19" s="43">
        <v>45693.506006944444</v>
      </c>
      <c r="K19" s="44">
        <v>585000</v>
      </c>
      <c r="L19" s="44">
        <v>0</v>
      </c>
      <c r="M19" s="44">
        <v>0</v>
      </c>
      <c r="N19" s="44">
        <v>111150</v>
      </c>
      <c r="O19" s="44">
        <v>0</v>
      </c>
      <c r="P19" s="44">
        <v>696150</v>
      </c>
      <c r="Q19" s="42" t="s">
        <v>108</v>
      </c>
      <c r="R19" s="42" t="s">
        <v>108</v>
      </c>
      <c r="S19" s="45">
        <f t="shared" si="1"/>
        <v>696150</v>
      </c>
    </row>
    <row r="20" spans="2:19" ht="15" customHeight="1" thickBot="1" x14ac:dyDescent="0.35">
      <c r="B20" s="78" t="s">
        <v>125</v>
      </c>
      <c r="C20" s="50"/>
      <c r="D20" s="50">
        <f>COUNTA(D16:D19)</f>
        <v>4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79"/>
      <c r="Q20" s="50"/>
      <c r="R20" s="50"/>
      <c r="S20" s="47">
        <f>SUM(S16:S19)</f>
        <v>581957144.82499993</v>
      </c>
    </row>
    <row r="21" spans="2:19" ht="15" customHeight="1" x14ac:dyDescent="0.35">
      <c r="B21" s="39" t="s">
        <v>128</v>
      </c>
      <c r="C21" s="40" t="s">
        <v>129</v>
      </c>
      <c r="D21" s="41" t="s">
        <v>55</v>
      </c>
      <c r="E21" s="39" t="s">
        <v>74</v>
      </c>
      <c r="F21" s="39" t="s">
        <v>75</v>
      </c>
      <c r="G21" s="42" t="s">
        <v>84</v>
      </c>
      <c r="H21" s="39" t="s">
        <v>85</v>
      </c>
      <c r="I21" s="43">
        <v>45743.649664351855</v>
      </c>
      <c r="J21" s="43">
        <v>45743.72216435185</v>
      </c>
      <c r="K21" s="44">
        <v>104719</v>
      </c>
      <c r="L21" s="44">
        <v>0</v>
      </c>
      <c r="M21" s="44">
        <v>7547</v>
      </c>
      <c r="N21" s="44">
        <v>0</v>
      </c>
      <c r="O21" s="44">
        <v>0</v>
      </c>
      <c r="P21" s="44">
        <v>112266</v>
      </c>
      <c r="Q21" s="42" t="s">
        <v>108</v>
      </c>
      <c r="R21" s="42" t="s">
        <v>108</v>
      </c>
      <c r="S21" s="45">
        <f>+P21</f>
        <v>112266</v>
      </c>
    </row>
    <row r="22" spans="2:19" ht="15" customHeight="1" x14ac:dyDescent="0.35">
      <c r="B22" s="39" t="s">
        <v>130</v>
      </c>
      <c r="C22" s="40" t="s">
        <v>131</v>
      </c>
      <c r="D22" s="41" t="s">
        <v>55</v>
      </c>
      <c r="E22" s="39" t="s">
        <v>74</v>
      </c>
      <c r="F22" s="39" t="s">
        <v>75</v>
      </c>
      <c r="G22" s="42" t="s">
        <v>84</v>
      </c>
      <c r="H22" s="39" t="s">
        <v>85</v>
      </c>
      <c r="I22" s="43">
        <v>45743.431701388887</v>
      </c>
      <c r="J22" s="43">
        <v>45743.732222222221</v>
      </c>
      <c r="K22" s="44">
        <v>50341</v>
      </c>
      <c r="L22" s="44">
        <v>0</v>
      </c>
      <c r="M22" s="44">
        <v>7547</v>
      </c>
      <c r="N22" s="44">
        <v>0</v>
      </c>
      <c r="O22" s="44">
        <v>0</v>
      </c>
      <c r="P22" s="44">
        <v>57888</v>
      </c>
      <c r="Q22" s="42" t="s">
        <v>108</v>
      </c>
      <c r="R22" s="42" t="s">
        <v>108</v>
      </c>
      <c r="S22" s="45">
        <f t="shared" ref="S22:S29" si="2">+P22</f>
        <v>57888</v>
      </c>
    </row>
    <row r="23" spans="2:19" ht="15" customHeight="1" x14ac:dyDescent="0.35">
      <c r="B23" s="39" t="s">
        <v>132</v>
      </c>
      <c r="C23" s="40" t="s">
        <v>133</v>
      </c>
      <c r="D23" s="41" t="s">
        <v>55</v>
      </c>
      <c r="E23" s="39" t="s">
        <v>74</v>
      </c>
      <c r="F23" s="39" t="s">
        <v>75</v>
      </c>
      <c r="G23" s="42" t="s">
        <v>84</v>
      </c>
      <c r="H23" s="39" t="s">
        <v>85</v>
      </c>
      <c r="I23" s="43">
        <v>45740.654189814813</v>
      </c>
      <c r="J23" s="43">
        <v>45740.778611111113</v>
      </c>
      <c r="K23" s="44">
        <v>268832</v>
      </c>
      <c r="L23" s="44">
        <v>0</v>
      </c>
      <c r="M23" s="44">
        <v>15094</v>
      </c>
      <c r="N23" s="44">
        <v>0</v>
      </c>
      <c r="O23" s="44">
        <v>0</v>
      </c>
      <c r="P23" s="44">
        <v>283926</v>
      </c>
      <c r="Q23" s="42" t="s">
        <v>108</v>
      </c>
      <c r="R23" s="42" t="s">
        <v>108</v>
      </c>
      <c r="S23" s="45">
        <f t="shared" si="2"/>
        <v>283926</v>
      </c>
    </row>
    <row r="24" spans="2:19" ht="15" customHeight="1" x14ac:dyDescent="0.35">
      <c r="B24" s="39" t="s">
        <v>134</v>
      </c>
      <c r="C24" s="40" t="s">
        <v>135</v>
      </c>
      <c r="D24" s="41" t="s">
        <v>57</v>
      </c>
      <c r="E24" s="39" t="s">
        <v>74</v>
      </c>
      <c r="F24" s="39" t="s">
        <v>75</v>
      </c>
      <c r="G24" s="42" t="s">
        <v>136</v>
      </c>
      <c r="H24" s="39" t="s">
        <v>137</v>
      </c>
      <c r="I24" s="43">
        <v>45735.621666666666</v>
      </c>
      <c r="J24" s="43">
        <v>45735.633587962962</v>
      </c>
      <c r="K24" s="44">
        <v>1727000</v>
      </c>
      <c r="L24" s="44">
        <v>0</v>
      </c>
      <c r="M24" s="44">
        <v>0</v>
      </c>
      <c r="N24" s="44">
        <v>328130</v>
      </c>
      <c r="O24" s="44">
        <v>0</v>
      </c>
      <c r="P24" s="44">
        <v>2055130</v>
      </c>
      <c r="Q24" s="42" t="s">
        <v>108</v>
      </c>
      <c r="R24" s="42" t="s">
        <v>108</v>
      </c>
      <c r="S24" s="45">
        <f t="shared" si="2"/>
        <v>2055130</v>
      </c>
    </row>
    <row r="25" spans="2:19" ht="15" customHeight="1" x14ac:dyDescent="0.35">
      <c r="B25" s="39" t="s">
        <v>138</v>
      </c>
      <c r="C25" s="40" t="s">
        <v>139</v>
      </c>
      <c r="D25" s="41" t="s">
        <v>55</v>
      </c>
      <c r="E25" s="39" t="s">
        <v>74</v>
      </c>
      <c r="F25" s="39" t="s">
        <v>75</v>
      </c>
      <c r="G25" s="42" t="s">
        <v>84</v>
      </c>
      <c r="H25" s="39" t="s">
        <v>85</v>
      </c>
      <c r="I25" s="43">
        <v>45735.542511574073</v>
      </c>
      <c r="J25" s="43">
        <v>45736.421990740739</v>
      </c>
      <c r="K25" s="44">
        <v>214014</v>
      </c>
      <c r="L25" s="44">
        <v>0</v>
      </c>
      <c r="M25" s="44">
        <v>15094</v>
      </c>
      <c r="N25" s="44">
        <v>0</v>
      </c>
      <c r="O25" s="44">
        <v>0</v>
      </c>
      <c r="P25" s="44">
        <v>229108</v>
      </c>
      <c r="Q25" s="42" t="s">
        <v>108</v>
      </c>
      <c r="R25" s="42" t="s">
        <v>108</v>
      </c>
      <c r="S25" s="45">
        <f t="shared" si="2"/>
        <v>229108</v>
      </c>
    </row>
    <row r="26" spans="2:19" ht="15" customHeight="1" x14ac:dyDescent="0.35">
      <c r="B26" s="39" t="s">
        <v>140</v>
      </c>
      <c r="C26" s="40" t="s">
        <v>141</v>
      </c>
      <c r="D26" s="41" t="s">
        <v>57</v>
      </c>
      <c r="E26" s="39" t="s">
        <v>74</v>
      </c>
      <c r="F26" s="39" t="s">
        <v>75</v>
      </c>
      <c r="G26" s="42" t="s">
        <v>142</v>
      </c>
      <c r="H26" s="39" t="s">
        <v>143</v>
      </c>
      <c r="I26" s="43">
        <v>45734.497118055559</v>
      </c>
      <c r="J26" s="43">
        <v>45734.514444444445</v>
      </c>
      <c r="K26" s="44">
        <v>1167000</v>
      </c>
      <c r="L26" s="44">
        <v>0</v>
      </c>
      <c r="M26" s="44">
        <v>0</v>
      </c>
      <c r="N26" s="44">
        <v>221730</v>
      </c>
      <c r="O26" s="44">
        <v>0</v>
      </c>
      <c r="P26" s="44">
        <v>1388730</v>
      </c>
      <c r="Q26" s="42" t="s">
        <v>108</v>
      </c>
      <c r="R26" s="42" t="s">
        <v>108</v>
      </c>
      <c r="S26" s="45">
        <f t="shared" si="2"/>
        <v>1388730</v>
      </c>
    </row>
    <row r="27" spans="2:19" ht="15" customHeight="1" x14ac:dyDescent="0.35">
      <c r="B27" s="39" t="s">
        <v>144</v>
      </c>
      <c r="C27" s="40" t="s">
        <v>145</v>
      </c>
      <c r="D27" s="41" t="s">
        <v>57</v>
      </c>
      <c r="E27" s="39" t="s">
        <v>74</v>
      </c>
      <c r="F27" s="39" t="s">
        <v>75</v>
      </c>
      <c r="G27" s="42" t="s">
        <v>146</v>
      </c>
      <c r="H27" s="39" t="s">
        <v>147</v>
      </c>
      <c r="I27" s="43">
        <v>45729.813483796293</v>
      </c>
      <c r="J27" s="43">
        <v>45729.837835648148</v>
      </c>
      <c r="K27" s="44">
        <v>2474000</v>
      </c>
      <c r="L27" s="44">
        <v>0</v>
      </c>
      <c r="M27" s="44">
        <v>0</v>
      </c>
      <c r="N27" s="44">
        <v>0</v>
      </c>
      <c r="O27" s="44">
        <v>0</v>
      </c>
      <c r="P27" s="44">
        <v>2474000</v>
      </c>
      <c r="Q27" s="42" t="s">
        <v>108</v>
      </c>
      <c r="R27" s="42" t="s">
        <v>108</v>
      </c>
      <c r="S27" s="45">
        <f t="shared" si="2"/>
        <v>2474000</v>
      </c>
    </row>
    <row r="28" spans="2:19" ht="15" customHeight="1" x14ac:dyDescent="0.35">
      <c r="B28" s="39" t="s">
        <v>148</v>
      </c>
      <c r="C28" s="40" t="s">
        <v>149</v>
      </c>
      <c r="D28" s="41" t="s">
        <v>57</v>
      </c>
      <c r="E28" s="39" t="s">
        <v>74</v>
      </c>
      <c r="F28" s="39" t="s">
        <v>75</v>
      </c>
      <c r="G28" s="42" t="s">
        <v>150</v>
      </c>
      <c r="H28" s="39" t="s">
        <v>151</v>
      </c>
      <c r="I28" s="43">
        <v>45728.635844907411</v>
      </c>
      <c r="J28" s="43">
        <v>45728.677453703705</v>
      </c>
      <c r="K28" s="44">
        <v>4611168</v>
      </c>
      <c r="L28" s="44">
        <v>0</v>
      </c>
      <c r="M28" s="44">
        <v>0</v>
      </c>
      <c r="N28" s="44">
        <v>876121.92</v>
      </c>
      <c r="O28" s="44">
        <v>0</v>
      </c>
      <c r="P28" s="44">
        <v>5487289.9199999999</v>
      </c>
      <c r="Q28" s="42" t="s">
        <v>108</v>
      </c>
      <c r="R28" s="42" t="s">
        <v>108</v>
      </c>
      <c r="S28" s="45">
        <f t="shared" si="2"/>
        <v>5487289.9199999999</v>
      </c>
    </row>
    <row r="29" spans="2:19" ht="15" customHeight="1" x14ac:dyDescent="0.35">
      <c r="B29" s="39" t="s">
        <v>152</v>
      </c>
      <c r="C29" s="40" t="s">
        <v>153</v>
      </c>
      <c r="D29" s="41" t="s">
        <v>57</v>
      </c>
      <c r="E29" s="39" t="s">
        <v>74</v>
      </c>
      <c r="F29" s="39" t="s">
        <v>75</v>
      </c>
      <c r="G29" s="42" t="s">
        <v>154</v>
      </c>
      <c r="H29" s="39" t="s">
        <v>155</v>
      </c>
      <c r="I29" s="43">
        <v>45727.760370370372</v>
      </c>
      <c r="J29" s="43">
        <v>45727.775138888886</v>
      </c>
      <c r="K29" s="44">
        <v>2300000</v>
      </c>
      <c r="L29" s="44">
        <v>0</v>
      </c>
      <c r="M29" s="44">
        <v>0</v>
      </c>
      <c r="N29" s="44">
        <v>0</v>
      </c>
      <c r="O29" s="44">
        <v>0</v>
      </c>
      <c r="P29" s="44">
        <v>2300000</v>
      </c>
      <c r="Q29" s="42" t="s">
        <v>108</v>
      </c>
      <c r="R29" s="42" t="s">
        <v>108</v>
      </c>
      <c r="S29" s="45">
        <f t="shared" si="2"/>
        <v>2300000</v>
      </c>
    </row>
    <row r="30" spans="2:19" ht="15" customHeight="1" x14ac:dyDescent="0.35">
      <c r="B30" s="39" t="s">
        <v>156</v>
      </c>
      <c r="C30" s="40" t="s">
        <v>157</v>
      </c>
      <c r="D30" s="41" t="s">
        <v>57</v>
      </c>
      <c r="E30" s="39" t="s">
        <v>74</v>
      </c>
      <c r="F30" s="39" t="s">
        <v>75</v>
      </c>
      <c r="G30" s="42" t="s">
        <v>158</v>
      </c>
      <c r="H30" s="39" t="s">
        <v>159</v>
      </c>
      <c r="I30" s="43">
        <v>45722.663055555553</v>
      </c>
      <c r="J30" s="43">
        <v>45722.679247685184</v>
      </c>
      <c r="K30" s="86">
        <v>25.067</v>
      </c>
      <c r="L30" s="44">
        <v>0</v>
      </c>
      <c r="M30" s="44">
        <v>0</v>
      </c>
      <c r="N30" s="86">
        <v>4.7627300000000004</v>
      </c>
      <c r="O30" s="44">
        <v>0</v>
      </c>
      <c r="P30" s="86">
        <v>29.829730000000001</v>
      </c>
      <c r="Q30" s="42" t="s">
        <v>160</v>
      </c>
      <c r="R30" s="87">
        <v>68034</v>
      </c>
      <c r="S30" s="45">
        <f>+P30*R30</f>
        <v>2029435.8508200001</v>
      </c>
    </row>
    <row r="31" spans="2:19" ht="15" customHeight="1" thickBot="1" x14ac:dyDescent="0.35">
      <c r="B31" s="78" t="s">
        <v>127</v>
      </c>
      <c r="C31" s="50"/>
      <c r="D31" s="50">
        <f>COUNTA(D21:D30)</f>
        <v>10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79"/>
      <c r="Q31" s="50"/>
      <c r="R31" s="50"/>
      <c r="S31" s="47">
        <f>SUM(S21:S30)</f>
        <v>16417773.770819999</v>
      </c>
    </row>
    <row r="32" spans="2:19" ht="15" customHeight="1" x14ac:dyDescent="0.35">
      <c r="B32" s="39" t="s">
        <v>165</v>
      </c>
      <c r="C32" s="40" t="s">
        <v>166</v>
      </c>
      <c r="D32" s="41" t="s">
        <v>55</v>
      </c>
      <c r="E32" s="39" t="s">
        <v>74</v>
      </c>
      <c r="F32" s="39" t="s">
        <v>75</v>
      </c>
      <c r="G32" s="42" t="s">
        <v>84</v>
      </c>
      <c r="H32" s="39" t="s">
        <v>85</v>
      </c>
      <c r="I32" s="43">
        <v>45775.44771990741</v>
      </c>
      <c r="J32" s="43">
        <v>45775.469768518517</v>
      </c>
      <c r="K32" s="44">
        <v>157923</v>
      </c>
      <c r="L32" s="44">
        <v>0</v>
      </c>
      <c r="M32" s="44">
        <v>15396</v>
      </c>
      <c r="N32" s="44">
        <v>0</v>
      </c>
      <c r="O32" s="44">
        <v>0</v>
      </c>
      <c r="P32" s="44">
        <v>173319</v>
      </c>
      <c r="Q32" s="42" t="s">
        <v>108</v>
      </c>
      <c r="R32" s="42" t="s">
        <v>108</v>
      </c>
      <c r="S32" s="45">
        <f>+P32</f>
        <v>173319</v>
      </c>
    </row>
    <row r="33" spans="2:19" ht="15" customHeight="1" x14ac:dyDescent="0.35">
      <c r="B33" s="39" t="s">
        <v>167</v>
      </c>
      <c r="C33" s="40" t="s">
        <v>168</v>
      </c>
      <c r="D33" s="41" t="s">
        <v>57</v>
      </c>
      <c r="E33" s="39" t="s">
        <v>74</v>
      </c>
      <c r="F33" s="39" t="s">
        <v>75</v>
      </c>
      <c r="G33" s="42" t="s">
        <v>169</v>
      </c>
      <c r="H33" s="39" t="s">
        <v>170</v>
      </c>
      <c r="I33" s="43">
        <v>45775.420972222222</v>
      </c>
      <c r="J33" s="43">
        <v>45775.479398148149</v>
      </c>
      <c r="K33" s="44">
        <v>3361345</v>
      </c>
      <c r="L33" s="44">
        <v>0</v>
      </c>
      <c r="M33" s="44">
        <v>0</v>
      </c>
      <c r="N33" s="44">
        <v>638655.55000000005</v>
      </c>
      <c r="O33" s="44">
        <v>0</v>
      </c>
      <c r="P33" s="44">
        <v>4000000.55</v>
      </c>
      <c r="Q33" s="42" t="s">
        <v>108</v>
      </c>
      <c r="R33" s="42" t="s">
        <v>108</v>
      </c>
      <c r="S33" s="45">
        <f t="shared" ref="S33:S41" si="3">+P33</f>
        <v>4000000.55</v>
      </c>
    </row>
    <row r="34" spans="2:19" ht="15" customHeight="1" x14ac:dyDescent="0.35">
      <c r="B34" s="39" t="s">
        <v>171</v>
      </c>
      <c r="C34" s="40" t="s">
        <v>172</v>
      </c>
      <c r="D34" s="41" t="s">
        <v>201</v>
      </c>
      <c r="E34" s="39" t="s">
        <v>74</v>
      </c>
      <c r="F34" s="39" t="s">
        <v>75</v>
      </c>
      <c r="G34" s="42" t="s">
        <v>173</v>
      </c>
      <c r="H34" s="39" t="s">
        <v>174</v>
      </c>
      <c r="I34" s="43">
        <v>45772.741678240738</v>
      </c>
      <c r="J34" s="43">
        <v>45772.750775462962</v>
      </c>
      <c r="K34" s="44">
        <v>10016388</v>
      </c>
      <c r="L34" s="44">
        <v>0</v>
      </c>
      <c r="M34" s="44">
        <v>0</v>
      </c>
      <c r="N34" s="44">
        <v>1903113.72</v>
      </c>
      <c r="O34" s="44">
        <v>0</v>
      </c>
      <c r="P34" s="44">
        <v>11919501.720000001</v>
      </c>
      <c r="Q34" s="42" t="s">
        <v>108</v>
      </c>
      <c r="R34" s="42" t="s">
        <v>108</v>
      </c>
      <c r="S34" s="45">
        <f t="shared" si="3"/>
        <v>11919501.720000001</v>
      </c>
    </row>
    <row r="35" spans="2:19" ht="15" customHeight="1" x14ac:dyDescent="0.35">
      <c r="B35" s="39" t="s">
        <v>175</v>
      </c>
      <c r="C35" s="40" t="s">
        <v>176</v>
      </c>
      <c r="D35" s="41" t="s">
        <v>57</v>
      </c>
      <c r="E35" s="39" t="s">
        <v>74</v>
      </c>
      <c r="F35" s="39" t="s">
        <v>75</v>
      </c>
      <c r="G35" s="42" t="s">
        <v>111</v>
      </c>
      <c r="H35" s="39" t="s">
        <v>112</v>
      </c>
      <c r="I35" s="43">
        <v>45771.431284722225</v>
      </c>
      <c r="J35" s="43">
        <v>45771.440821759257</v>
      </c>
      <c r="K35" s="44">
        <v>290000</v>
      </c>
      <c r="L35" s="44">
        <v>0</v>
      </c>
      <c r="M35" s="44">
        <v>0</v>
      </c>
      <c r="N35" s="44">
        <v>55100</v>
      </c>
      <c r="O35" s="44">
        <v>0</v>
      </c>
      <c r="P35" s="44">
        <v>345100</v>
      </c>
      <c r="Q35" s="42" t="s">
        <v>108</v>
      </c>
      <c r="R35" s="42" t="s">
        <v>108</v>
      </c>
      <c r="S35" s="45">
        <f t="shared" si="3"/>
        <v>345100</v>
      </c>
    </row>
    <row r="36" spans="2:19" ht="15" customHeight="1" x14ac:dyDescent="0.35">
      <c r="B36" s="39" t="s">
        <v>177</v>
      </c>
      <c r="C36" s="40" t="s">
        <v>178</v>
      </c>
      <c r="D36" s="41" t="s">
        <v>57</v>
      </c>
      <c r="E36" s="39" t="s">
        <v>74</v>
      </c>
      <c r="F36" s="39" t="s">
        <v>75</v>
      </c>
      <c r="G36" s="42" t="s">
        <v>179</v>
      </c>
      <c r="H36" s="39" t="s">
        <v>180</v>
      </c>
      <c r="I36" s="43">
        <v>45763.73847222222</v>
      </c>
      <c r="J36" s="43">
        <v>45763.758067129631</v>
      </c>
      <c r="K36" s="44">
        <v>2800000</v>
      </c>
      <c r="L36" s="44">
        <v>0</v>
      </c>
      <c r="M36" s="44">
        <v>0</v>
      </c>
      <c r="N36" s="44">
        <v>532000</v>
      </c>
      <c r="O36" s="44">
        <v>0</v>
      </c>
      <c r="P36" s="44">
        <v>3332000</v>
      </c>
      <c r="Q36" s="42" t="s">
        <v>108</v>
      </c>
      <c r="R36" s="42" t="s">
        <v>108</v>
      </c>
      <c r="S36" s="45">
        <f t="shared" si="3"/>
        <v>3332000</v>
      </c>
    </row>
    <row r="37" spans="2:19" ht="15" customHeight="1" x14ac:dyDescent="0.35">
      <c r="B37" s="39" t="s">
        <v>181</v>
      </c>
      <c r="C37" s="40" t="s">
        <v>182</v>
      </c>
      <c r="D37" s="41" t="s">
        <v>27</v>
      </c>
      <c r="E37" s="39" t="s">
        <v>74</v>
      </c>
      <c r="F37" s="39" t="s">
        <v>75</v>
      </c>
      <c r="G37" s="42" t="s">
        <v>183</v>
      </c>
      <c r="H37" s="39" t="s">
        <v>184</v>
      </c>
      <c r="I37" s="43">
        <v>45762.391782407409</v>
      </c>
      <c r="J37" s="43">
        <v>45762.408576388887</v>
      </c>
      <c r="K37" s="44">
        <v>3150000</v>
      </c>
      <c r="L37" s="44">
        <v>0</v>
      </c>
      <c r="M37" s="44">
        <v>0</v>
      </c>
      <c r="N37" s="44">
        <v>598500</v>
      </c>
      <c r="O37" s="44">
        <v>0</v>
      </c>
      <c r="P37" s="44">
        <v>3748500</v>
      </c>
      <c r="Q37" s="42" t="s">
        <v>108</v>
      </c>
      <c r="R37" s="42" t="s">
        <v>108</v>
      </c>
      <c r="S37" s="45">
        <f t="shared" si="3"/>
        <v>3748500</v>
      </c>
    </row>
    <row r="38" spans="2:19" ht="15" customHeight="1" x14ac:dyDescent="0.35">
      <c r="B38" s="39" t="s">
        <v>185</v>
      </c>
      <c r="C38" s="40" t="s">
        <v>186</v>
      </c>
      <c r="D38" s="41" t="s">
        <v>57</v>
      </c>
      <c r="E38" s="39" t="s">
        <v>74</v>
      </c>
      <c r="F38" s="39" t="s">
        <v>75</v>
      </c>
      <c r="G38" s="42" t="s">
        <v>187</v>
      </c>
      <c r="H38" s="39" t="s">
        <v>188</v>
      </c>
      <c r="I38" s="43">
        <v>45761.774247685185</v>
      </c>
      <c r="J38" s="43">
        <v>45761.782141203701</v>
      </c>
      <c r="K38" s="44">
        <v>1800000</v>
      </c>
      <c r="L38" s="44">
        <v>0</v>
      </c>
      <c r="M38" s="44">
        <v>0</v>
      </c>
      <c r="N38" s="44">
        <v>342000</v>
      </c>
      <c r="O38" s="44">
        <v>0</v>
      </c>
      <c r="P38" s="44">
        <v>2142000</v>
      </c>
      <c r="Q38" s="42" t="s">
        <v>108</v>
      </c>
      <c r="R38" s="42" t="s">
        <v>108</v>
      </c>
      <c r="S38" s="45">
        <f t="shared" si="3"/>
        <v>2142000</v>
      </c>
    </row>
    <row r="39" spans="2:19" ht="15" customHeight="1" x14ac:dyDescent="0.35">
      <c r="B39" s="39" t="s">
        <v>189</v>
      </c>
      <c r="C39" s="40" t="s">
        <v>190</v>
      </c>
      <c r="D39" s="41" t="s">
        <v>201</v>
      </c>
      <c r="E39" s="39" t="s">
        <v>74</v>
      </c>
      <c r="F39" s="39" t="s">
        <v>75</v>
      </c>
      <c r="G39" s="42" t="s">
        <v>191</v>
      </c>
      <c r="H39" s="39" t="s">
        <v>192</v>
      </c>
      <c r="I39" s="43">
        <v>45756.540300925924</v>
      </c>
      <c r="J39" s="43">
        <v>45756.731122685182</v>
      </c>
      <c r="K39" s="44">
        <v>25210084</v>
      </c>
      <c r="L39" s="44">
        <v>0</v>
      </c>
      <c r="M39" s="44">
        <v>0</v>
      </c>
      <c r="N39" s="44">
        <v>4789915.96</v>
      </c>
      <c r="O39" s="44">
        <v>0</v>
      </c>
      <c r="P39" s="44">
        <v>29999999.960000001</v>
      </c>
      <c r="Q39" s="42" t="s">
        <v>108</v>
      </c>
      <c r="R39" s="42" t="s">
        <v>108</v>
      </c>
      <c r="S39" s="45">
        <f t="shared" si="3"/>
        <v>29999999.960000001</v>
      </c>
    </row>
    <row r="40" spans="2:19" ht="15" customHeight="1" x14ac:dyDescent="0.35">
      <c r="B40" s="39" t="s">
        <v>193</v>
      </c>
      <c r="C40" s="40" t="s">
        <v>194</v>
      </c>
      <c r="D40" s="41" t="s">
        <v>57</v>
      </c>
      <c r="E40" s="39" t="s">
        <v>74</v>
      </c>
      <c r="F40" s="39" t="s">
        <v>75</v>
      </c>
      <c r="G40" s="42" t="s">
        <v>195</v>
      </c>
      <c r="H40" s="39" t="s">
        <v>196</v>
      </c>
      <c r="I40" s="43">
        <v>45754.421631944446</v>
      </c>
      <c r="J40" s="43">
        <v>45754.447002314817</v>
      </c>
      <c r="K40" s="44">
        <v>1620000</v>
      </c>
      <c r="L40" s="44">
        <v>0</v>
      </c>
      <c r="M40" s="44">
        <v>0</v>
      </c>
      <c r="N40" s="44">
        <v>307800</v>
      </c>
      <c r="O40" s="44">
        <v>0</v>
      </c>
      <c r="P40" s="44">
        <v>1927800</v>
      </c>
      <c r="Q40" s="42" t="s">
        <v>108</v>
      </c>
      <c r="R40" s="42" t="s">
        <v>108</v>
      </c>
      <c r="S40" s="45">
        <f t="shared" si="3"/>
        <v>1927800</v>
      </c>
    </row>
    <row r="41" spans="2:19" ht="15" customHeight="1" x14ac:dyDescent="0.35">
      <c r="B41" s="39" t="s">
        <v>197</v>
      </c>
      <c r="C41" s="40" t="s">
        <v>198</v>
      </c>
      <c r="D41" s="41" t="s">
        <v>57</v>
      </c>
      <c r="E41" s="39" t="s">
        <v>74</v>
      </c>
      <c r="F41" s="39" t="s">
        <v>75</v>
      </c>
      <c r="G41" s="42" t="s">
        <v>199</v>
      </c>
      <c r="H41" s="39" t="s">
        <v>200</v>
      </c>
      <c r="I41" s="43">
        <v>45747.584907407407</v>
      </c>
      <c r="J41" s="43">
        <v>45748.434872685182</v>
      </c>
      <c r="K41" s="44">
        <v>2240000</v>
      </c>
      <c r="L41" s="44">
        <v>0</v>
      </c>
      <c r="M41" s="44">
        <v>0</v>
      </c>
      <c r="N41" s="44">
        <v>425600</v>
      </c>
      <c r="O41" s="44">
        <v>0</v>
      </c>
      <c r="P41" s="44">
        <v>2665600</v>
      </c>
      <c r="Q41" s="42" t="s">
        <v>108</v>
      </c>
      <c r="R41" s="42" t="s">
        <v>108</v>
      </c>
      <c r="S41" s="45">
        <f t="shared" si="3"/>
        <v>2665600</v>
      </c>
    </row>
    <row r="42" spans="2:19" ht="15" customHeight="1" thickBot="1" x14ac:dyDescent="0.35">
      <c r="B42" s="78" t="s">
        <v>164</v>
      </c>
      <c r="C42" s="50"/>
      <c r="D42" s="50">
        <f>COUNTA(D32:D41)</f>
        <v>10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79"/>
      <c r="Q42" s="50"/>
      <c r="R42" s="50"/>
      <c r="S42" s="47">
        <f>SUM(S32:S41)</f>
        <v>60253821.230000004</v>
      </c>
    </row>
    <row r="43" spans="2:19" ht="15" customHeight="1" x14ac:dyDescent="0.35">
      <c r="B43" s="39" t="s">
        <v>202</v>
      </c>
      <c r="C43" s="40" t="s">
        <v>203</v>
      </c>
      <c r="D43" s="41" t="s">
        <v>55</v>
      </c>
      <c r="E43" s="39" t="s">
        <v>74</v>
      </c>
      <c r="F43" s="39" t="s">
        <v>75</v>
      </c>
      <c r="G43" s="42" t="s">
        <v>84</v>
      </c>
      <c r="H43" s="39" t="s">
        <v>85</v>
      </c>
      <c r="I43" s="43">
        <v>45807.63422453704</v>
      </c>
      <c r="J43" s="43">
        <v>45807.63994212963</v>
      </c>
      <c r="K43" s="44">
        <v>94982</v>
      </c>
      <c r="L43" s="44">
        <v>0</v>
      </c>
      <c r="M43" s="44">
        <v>15396</v>
      </c>
      <c r="N43" s="44">
        <v>0</v>
      </c>
      <c r="O43" s="44">
        <v>0</v>
      </c>
      <c r="P43" s="44">
        <v>110378</v>
      </c>
      <c r="Q43" s="42" t="s">
        <v>108</v>
      </c>
      <c r="R43" s="42" t="s">
        <v>108</v>
      </c>
      <c r="S43" s="45">
        <f>+P43</f>
        <v>110378</v>
      </c>
    </row>
    <row r="44" spans="2:19" ht="15" customHeight="1" x14ac:dyDescent="0.35">
      <c r="B44" s="39" t="s">
        <v>204</v>
      </c>
      <c r="C44" s="40" t="s">
        <v>205</v>
      </c>
      <c r="D44" s="41" t="s">
        <v>57</v>
      </c>
      <c r="E44" s="39" t="s">
        <v>74</v>
      </c>
      <c r="F44" s="39" t="s">
        <v>75</v>
      </c>
      <c r="G44" s="42" t="s">
        <v>206</v>
      </c>
      <c r="H44" s="39" t="s">
        <v>207</v>
      </c>
      <c r="I44" s="43">
        <v>45807.466678240744</v>
      </c>
      <c r="J44" s="43">
        <v>45807.475347222222</v>
      </c>
      <c r="K44" s="44">
        <v>946542</v>
      </c>
      <c r="L44" s="44">
        <v>0</v>
      </c>
      <c r="M44" s="44">
        <v>0</v>
      </c>
      <c r="N44" s="44">
        <v>179842.98</v>
      </c>
      <c r="O44" s="44">
        <v>0</v>
      </c>
      <c r="P44" s="44">
        <v>1126385</v>
      </c>
      <c r="Q44" s="42" t="s">
        <v>108</v>
      </c>
      <c r="R44" s="42" t="s">
        <v>108</v>
      </c>
      <c r="S44" s="45">
        <f t="shared" ref="S44:S56" si="4">+P44</f>
        <v>1126385</v>
      </c>
    </row>
    <row r="45" spans="2:19" ht="15" customHeight="1" x14ac:dyDescent="0.35">
      <c r="B45" s="39" t="s">
        <v>208</v>
      </c>
      <c r="C45" s="40" t="s">
        <v>209</v>
      </c>
      <c r="D45" s="41" t="s">
        <v>57</v>
      </c>
      <c r="E45" s="39" t="s">
        <v>74</v>
      </c>
      <c r="F45" s="39" t="s">
        <v>75</v>
      </c>
      <c r="G45" s="42" t="s">
        <v>199</v>
      </c>
      <c r="H45" s="39" t="s">
        <v>200</v>
      </c>
      <c r="I45" s="43">
        <v>45806.876400462963</v>
      </c>
      <c r="J45" s="43">
        <v>45807.407002314816</v>
      </c>
      <c r="K45" s="44">
        <v>392000</v>
      </c>
      <c r="L45" s="44">
        <v>0</v>
      </c>
      <c r="M45" s="44">
        <v>0</v>
      </c>
      <c r="N45" s="44">
        <v>74480</v>
      </c>
      <c r="O45" s="44">
        <v>0</v>
      </c>
      <c r="P45" s="44">
        <v>466480</v>
      </c>
      <c r="Q45" s="42" t="s">
        <v>108</v>
      </c>
      <c r="R45" s="42" t="s">
        <v>108</v>
      </c>
      <c r="S45" s="45">
        <f t="shared" si="4"/>
        <v>466480</v>
      </c>
    </row>
    <row r="46" spans="2:19" ht="15" customHeight="1" x14ac:dyDescent="0.35">
      <c r="B46" s="39" t="s">
        <v>241</v>
      </c>
      <c r="C46" s="40" t="s">
        <v>242</v>
      </c>
      <c r="D46" s="41" t="s">
        <v>27</v>
      </c>
      <c r="E46" s="39" t="s">
        <v>74</v>
      </c>
      <c r="F46" s="39" t="s">
        <v>75</v>
      </c>
      <c r="G46" s="42" t="s">
        <v>243</v>
      </c>
      <c r="H46" s="39" t="s">
        <v>244</v>
      </c>
      <c r="I46" s="43">
        <v>45806.664988425924</v>
      </c>
      <c r="J46" s="43">
        <v>45806.678946759261</v>
      </c>
      <c r="K46" s="44">
        <v>12000000</v>
      </c>
      <c r="L46" s="44">
        <v>0</v>
      </c>
      <c r="M46" s="44">
        <v>0</v>
      </c>
      <c r="N46" s="44">
        <v>0</v>
      </c>
      <c r="O46" s="44">
        <v>0</v>
      </c>
      <c r="P46" s="44">
        <v>12000000</v>
      </c>
      <c r="Q46" s="42" t="s">
        <v>108</v>
      </c>
      <c r="R46" s="42" t="s">
        <v>108</v>
      </c>
      <c r="S46" s="45">
        <f t="shared" si="4"/>
        <v>12000000</v>
      </c>
    </row>
    <row r="47" spans="2:19" ht="15" customHeight="1" x14ac:dyDescent="0.35">
      <c r="B47" s="39" t="s">
        <v>210</v>
      </c>
      <c r="C47" s="40" t="s">
        <v>211</v>
      </c>
      <c r="D47" s="41" t="s">
        <v>57</v>
      </c>
      <c r="E47" s="39" t="s">
        <v>74</v>
      </c>
      <c r="F47" s="39" t="s">
        <v>75</v>
      </c>
      <c r="G47" s="42" t="s">
        <v>212</v>
      </c>
      <c r="H47" s="39" t="s">
        <v>213</v>
      </c>
      <c r="I47" s="43">
        <v>45806.432592592595</v>
      </c>
      <c r="J47" s="43">
        <v>45806.43849537037</v>
      </c>
      <c r="K47" s="44">
        <v>220000</v>
      </c>
      <c r="L47" s="44">
        <v>0</v>
      </c>
      <c r="M47" s="44">
        <v>0</v>
      </c>
      <c r="N47" s="44">
        <v>41800</v>
      </c>
      <c r="O47" s="44">
        <v>0</v>
      </c>
      <c r="P47" s="44">
        <v>261800</v>
      </c>
      <c r="Q47" s="42" t="s">
        <v>108</v>
      </c>
      <c r="R47" s="42" t="s">
        <v>108</v>
      </c>
      <c r="S47" s="45">
        <f t="shared" si="4"/>
        <v>261800</v>
      </c>
    </row>
    <row r="48" spans="2:19" ht="15" customHeight="1" x14ac:dyDescent="0.35">
      <c r="B48" s="39" t="s">
        <v>214</v>
      </c>
      <c r="C48" s="40" t="s">
        <v>215</v>
      </c>
      <c r="D48" s="41" t="s">
        <v>57</v>
      </c>
      <c r="E48" s="39" t="s">
        <v>74</v>
      </c>
      <c r="F48" s="39" t="s">
        <v>75</v>
      </c>
      <c r="G48" s="42" t="s">
        <v>216</v>
      </c>
      <c r="H48" s="39" t="s">
        <v>217</v>
      </c>
      <c r="I48" s="43">
        <v>45806.413055555553</v>
      </c>
      <c r="J48" s="43">
        <v>45806.422546296293</v>
      </c>
      <c r="K48" s="44">
        <v>576000</v>
      </c>
      <c r="L48" s="44">
        <v>0</v>
      </c>
      <c r="M48" s="44">
        <v>0</v>
      </c>
      <c r="N48" s="44">
        <v>109440</v>
      </c>
      <c r="O48" s="44">
        <v>0</v>
      </c>
      <c r="P48" s="44">
        <v>685440</v>
      </c>
      <c r="Q48" s="42" t="s">
        <v>108</v>
      </c>
      <c r="R48" s="42" t="s">
        <v>108</v>
      </c>
      <c r="S48" s="45">
        <f t="shared" si="4"/>
        <v>685440</v>
      </c>
    </row>
    <row r="49" spans="2:22" ht="15" customHeight="1" x14ac:dyDescent="0.35">
      <c r="B49" s="39" t="s">
        <v>218</v>
      </c>
      <c r="C49" s="40" t="s">
        <v>219</v>
      </c>
      <c r="D49" s="41" t="s">
        <v>57</v>
      </c>
      <c r="E49" s="39" t="s">
        <v>74</v>
      </c>
      <c r="F49" s="39" t="s">
        <v>75</v>
      </c>
      <c r="G49" s="42" t="s">
        <v>220</v>
      </c>
      <c r="H49" s="39" t="s">
        <v>221</v>
      </c>
      <c r="I49" s="43">
        <v>45803.672638888886</v>
      </c>
      <c r="J49" s="43">
        <v>45803.695671296293</v>
      </c>
      <c r="K49" s="44">
        <v>2437290</v>
      </c>
      <c r="L49" s="44">
        <v>0</v>
      </c>
      <c r="M49" s="44">
        <v>0</v>
      </c>
      <c r="N49" s="44">
        <v>463085.1</v>
      </c>
      <c r="O49" s="44">
        <v>0</v>
      </c>
      <c r="P49" s="44">
        <v>2900375</v>
      </c>
      <c r="Q49" s="42" t="s">
        <v>108</v>
      </c>
      <c r="R49" s="42" t="s">
        <v>108</v>
      </c>
      <c r="S49" s="45">
        <f t="shared" si="4"/>
        <v>2900375</v>
      </c>
    </row>
    <row r="50" spans="2:22" ht="15" customHeight="1" x14ac:dyDescent="0.35">
      <c r="B50" s="39" t="s">
        <v>222</v>
      </c>
      <c r="C50" s="40" t="s">
        <v>223</v>
      </c>
      <c r="D50" s="41" t="s">
        <v>57</v>
      </c>
      <c r="E50" s="39" t="s">
        <v>74</v>
      </c>
      <c r="F50" s="39" t="s">
        <v>75</v>
      </c>
      <c r="G50" s="42" t="s">
        <v>224</v>
      </c>
      <c r="H50" s="39" t="s">
        <v>225</v>
      </c>
      <c r="I50" s="43">
        <v>45800.550034722219</v>
      </c>
      <c r="J50" s="43">
        <v>45800.567893518521</v>
      </c>
      <c r="K50" s="44">
        <v>245000</v>
      </c>
      <c r="L50" s="44">
        <v>0</v>
      </c>
      <c r="M50" s="44">
        <v>0</v>
      </c>
      <c r="N50" s="44">
        <v>46550</v>
      </c>
      <c r="O50" s="44">
        <v>0</v>
      </c>
      <c r="P50" s="44">
        <v>291550</v>
      </c>
      <c r="Q50" s="42" t="s">
        <v>108</v>
      </c>
      <c r="R50" s="42" t="s">
        <v>108</v>
      </c>
      <c r="S50" s="45">
        <f t="shared" si="4"/>
        <v>291550</v>
      </c>
    </row>
    <row r="51" spans="2:22" ht="15" customHeight="1" x14ac:dyDescent="0.35">
      <c r="B51" s="39" t="s">
        <v>226</v>
      </c>
      <c r="C51" s="40" t="s">
        <v>227</v>
      </c>
      <c r="D51" s="41" t="s">
        <v>57</v>
      </c>
      <c r="E51" s="39" t="s">
        <v>74</v>
      </c>
      <c r="F51" s="39" t="s">
        <v>75</v>
      </c>
      <c r="G51" s="42" t="s">
        <v>228</v>
      </c>
      <c r="H51" s="39" t="s">
        <v>229</v>
      </c>
      <c r="I51" s="43">
        <v>45800.549756944441</v>
      </c>
      <c r="J51" s="43">
        <v>45800.580567129633</v>
      </c>
      <c r="K51" s="44">
        <v>250000</v>
      </c>
      <c r="L51" s="44">
        <v>0</v>
      </c>
      <c r="M51" s="44">
        <v>0</v>
      </c>
      <c r="N51" s="44">
        <v>47500</v>
      </c>
      <c r="O51" s="44">
        <v>0</v>
      </c>
      <c r="P51" s="44">
        <v>297500</v>
      </c>
      <c r="Q51" s="42" t="s">
        <v>108</v>
      </c>
      <c r="R51" s="42" t="s">
        <v>108</v>
      </c>
      <c r="S51" s="45">
        <f t="shared" si="4"/>
        <v>297500</v>
      </c>
    </row>
    <row r="52" spans="2:22" ht="15" customHeight="1" x14ac:dyDescent="0.35">
      <c r="B52" s="39" t="s">
        <v>230</v>
      </c>
      <c r="C52" s="40" t="s">
        <v>231</v>
      </c>
      <c r="D52" s="41" t="s">
        <v>57</v>
      </c>
      <c r="E52" s="39" t="s">
        <v>74</v>
      </c>
      <c r="F52" s="39" t="s">
        <v>75</v>
      </c>
      <c r="G52" s="42" t="s">
        <v>232</v>
      </c>
      <c r="H52" s="39" t="s">
        <v>233</v>
      </c>
      <c r="I52" s="43">
        <v>45800.54896990741</v>
      </c>
      <c r="J52" s="43">
        <v>45800.58861111111</v>
      </c>
      <c r="K52" s="44">
        <v>279300</v>
      </c>
      <c r="L52" s="44">
        <v>0</v>
      </c>
      <c r="M52" s="44">
        <v>0</v>
      </c>
      <c r="N52" s="44">
        <v>53067</v>
      </c>
      <c r="O52" s="44">
        <v>0</v>
      </c>
      <c r="P52" s="44">
        <v>332367</v>
      </c>
      <c r="Q52" s="42" t="s">
        <v>108</v>
      </c>
      <c r="R52" s="42" t="s">
        <v>108</v>
      </c>
      <c r="S52" s="45">
        <f t="shared" si="4"/>
        <v>332367</v>
      </c>
    </row>
    <row r="53" spans="2:22" ht="15" customHeight="1" x14ac:dyDescent="0.35">
      <c r="B53" s="39" t="s">
        <v>234</v>
      </c>
      <c r="C53" s="40" t="s">
        <v>235</v>
      </c>
      <c r="D53" s="41" t="s">
        <v>55</v>
      </c>
      <c r="E53" s="39" t="s">
        <v>74</v>
      </c>
      <c r="F53" s="39" t="s">
        <v>75</v>
      </c>
      <c r="G53" s="42" t="s">
        <v>84</v>
      </c>
      <c r="H53" s="39" t="s">
        <v>85</v>
      </c>
      <c r="I53" s="43">
        <v>45797.422685185185</v>
      </c>
      <c r="J53" s="43">
        <v>45797.453217592592</v>
      </c>
      <c r="K53" s="44">
        <v>56991</v>
      </c>
      <c r="L53" s="44">
        <v>0</v>
      </c>
      <c r="M53" s="44">
        <v>7698</v>
      </c>
      <c r="N53" s="44">
        <v>0</v>
      </c>
      <c r="O53" s="44">
        <v>0</v>
      </c>
      <c r="P53" s="44">
        <v>64689</v>
      </c>
      <c r="Q53" s="42" t="s">
        <v>108</v>
      </c>
      <c r="R53" s="42" t="s">
        <v>108</v>
      </c>
      <c r="S53" s="45">
        <f t="shared" si="4"/>
        <v>64689</v>
      </c>
    </row>
    <row r="54" spans="2:22" ht="15" customHeight="1" x14ac:dyDescent="0.35">
      <c r="B54" s="39" t="s">
        <v>236</v>
      </c>
      <c r="C54" s="40" t="s">
        <v>237</v>
      </c>
      <c r="D54" s="41" t="s">
        <v>55</v>
      </c>
      <c r="E54" s="39" t="s">
        <v>74</v>
      </c>
      <c r="F54" s="39" t="s">
        <v>75</v>
      </c>
      <c r="G54" s="42" t="s">
        <v>84</v>
      </c>
      <c r="H54" s="39" t="s">
        <v>85</v>
      </c>
      <c r="I54" s="43">
        <v>45796.384282407409</v>
      </c>
      <c r="J54" s="43">
        <v>45797.456828703704</v>
      </c>
      <c r="K54" s="44">
        <v>252153</v>
      </c>
      <c r="L54" s="44">
        <v>0</v>
      </c>
      <c r="M54" s="44">
        <v>7698</v>
      </c>
      <c r="N54" s="44">
        <v>0</v>
      </c>
      <c r="O54" s="44">
        <v>0</v>
      </c>
      <c r="P54" s="44">
        <v>259851</v>
      </c>
      <c r="Q54" s="42" t="s">
        <v>108</v>
      </c>
      <c r="R54" s="42" t="s">
        <v>108</v>
      </c>
      <c r="S54" s="45">
        <f t="shared" si="4"/>
        <v>259851</v>
      </c>
    </row>
    <row r="55" spans="2:22" ht="15" customHeight="1" x14ac:dyDescent="0.35">
      <c r="B55" s="39" t="s">
        <v>238</v>
      </c>
      <c r="C55" s="40" t="s">
        <v>133</v>
      </c>
      <c r="D55" s="41" t="s">
        <v>55</v>
      </c>
      <c r="E55" s="39" t="s">
        <v>74</v>
      </c>
      <c r="F55" s="39" t="s">
        <v>75</v>
      </c>
      <c r="G55" s="42" t="s">
        <v>84</v>
      </c>
      <c r="H55" s="39" t="s">
        <v>85</v>
      </c>
      <c r="I55" s="43">
        <v>45793.468784722223</v>
      </c>
      <c r="J55" s="43">
        <v>45793.486747685187</v>
      </c>
      <c r="K55" s="44">
        <v>282537</v>
      </c>
      <c r="L55" s="44">
        <v>0</v>
      </c>
      <c r="M55" s="44">
        <v>15396</v>
      </c>
      <c r="N55" s="44">
        <v>0</v>
      </c>
      <c r="O55" s="44">
        <v>0</v>
      </c>
      <c r="P55" s="44">
        <v>297933</v>
      </c>
      <c r="Q55" s="42" t="s">
        <v>108</v>
      </c>
      <c r="R55" s="42" t="s">
        <v>108</v>
      </c>
      <c r="S55" s="45">
        <f t="shared" si="4"/>
        <v>297933</v>
      </c>
    </row>
    <row r="56" spans="2:22" ht="15" customHeight="1" x14ac:dyDescent="0.35">
      <c r="B56" s="39" t="s">
        <v>239</v>
      </c>
      <c r="C56" s="40" t="s">
        <v>133</v>
      </c>
      <c r="D56" s="41" t="s">
        <v>55</v>
      </c>
      <c r="E56" s="39" t="s">
        <v>74</v>
      </c>
      <c r="F56" s="39" t="s">
        <v>75</v>
      </c>
      <c r="G56" s="42" t="s">
        <v>84</v>
      </c>
      <c r="H56" s="39" t="s">
        <v>85</v>
      </c>
      <c r="I56" s="43">
        <v>45793.460844907408</v>
      </c>
      <c r="J56" s="43">
        <v>45793.486377314817</v>
      </c>
      <c r="K56" s="44">
        <v>232187</v>
      </c>
      <c r="L56" s="44">
        <v>0</v>
      </c>
      <c r="M56" s="44">
        <v>15396</v>
      </c>
      <c r="N56" s="44">
        <v>0</v>
      </c>
      <c r="O56" s="44">
        <v>0</v>
      </c>
      <c r="P56" s="44">
        <v>247583</v>
      </c>
      <c r="Q56" s="42" t="s">
        <v>108</v>
      </c>
      <c r="R56" s="42" t="s">
        <v>108</v>
      </c>
      <c r="S56" s="45">
        <f t="shared" si="4"/>
        <v>247583</v>
      </c>
    </row>
    <row r="57" spans="2:22" ht="15" customHeight="1" thickBot="1" x14ac:dyDescent="0.35">
      <c r="B57" s="78" t="s">
        <v>240</v>
      </c>
      <c r="C57" s="50"/>
      <c r="D57" s="50">
        <f>COUNTA(D43:D56)</f>
        <v>14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79"/>
      <c r="Q57" s="50"/>
      <c r="R57" s="50"/>
      <c r="S57" s="47">
        <f>SUM(S43:S56)</f>
        <v>19342331</v>
      </c>
    </row>
    <row r="58" spans="2:22" ht="13.5" thickBot="1" x14ac:dyDescent="0.35">
      <c r="B58" s="80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2"/>
      <c r="Q58" s="81"/>
      <c r="R58" s="81"/>
      <c r="S58" s="83"/>
    </row>
    <row r="59" spans="2:22" ht="13.5" thickBot="1" x14ac:dyDescent="0.35">
      <c r="B59" s="78" t="s">
        <v>58</v>
      </c>
      <c r="C59" s="50"/>
      <c r="D59" s="50">
        <f>+D15+D20+D31+D42+D57</f>
        <v>50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47">
        <f>+S15+S20+S31+S42+S57</f>
        <v>682231361.98581994</v>
      </c>
      <c r="U59" s="48">
        <f>+S15+S20+S31+S42+S57</f>
        <v>682231361.98581994</v>
      </c>
      <c r="V59" s="49" t="s">
        <v>59</v>
      </c>
    </row>
    <row r="60" spans="2:22" x14ac:dyDescent="0.3">
      <c r="U60" s="48">
        <f>+D15+D20+D31+D42+D57</f>
        <v>50</v>
      </c>
      <c r="V60" s="49" t="s">
        <v>59</v>
      </c>
    </row>
    <row r="62" spans="2:22" x14ac:dyDescent="0.3">
      <c r="U62" s="7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1144-F52B-4F51-AE15-39A99AEC08FD}">
  <dimension ref="B1:AO16"/>
  <sheetViews>
    <sheetView zoomScale="80" zoomScaleNormal="80" workbookViewId="0">
      <selection activeCell="B5" sqref="B5:S5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7" customFormat="1" ht="27" customHeight="1" x14ac:dyDescent="0.3">
      <c r="B1" s="46" t="s">
        <v>2</v>
      </c>
      <c r="C1" s="46" t="s">
        <v>3</v>
      </c>
      <c r="D1" s="46" t="s">
        <v>4</v>
      </c>
      <c r="E1" s="46" t="s">
        <v>5</v>
      </c>
      <c r="F1" s="46" t="s">
        <v>22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51</v>
      </c>
      <c r="R1" s="46" t="s">
        <v>52</v>
      </c>
      <c r="S1" s="46" t="s">
        <v>53</v>
      </c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2:41" ht="17.25" customHeight="1" x14ac:dyDescent="0.35">
      <c r="B2" s="39" t="s">
        <v>202</v>
      </c>
      <c r="C2" s="40" t="s">
        <v>203</v>
      </c>
      <c r="D2" s="41" t="s">
        <v>55</v>
      </c>
      <c r="E2" s="39" t="s">
        <v>74</v>
      </c>
      <c r="F2" s="39" t="s">
        <v>75</v>
      </c>
      <c r="G2" s="42" t="s">
        <v>84</v>
      </c>
      <c r="H2" s="39" t="s">
        <v>85</v>
      </c>
      <c r="I2" s="43">
        <v>45807.63422453704</v>
      </c>
      <c r="J2" s="43">
        <v>45807.63994212963</v>
      </c>
      <c r="K2" s="44">
        <v>94982</v>
      </c>
      <c r="L2" s="44">
        <v>0</v>
      </c>
      <c r="M2" s="44">
        <v>15396</v>
      </c>
      <c r="N2" s="44">
        <v>0</v>
      </c>
      <c r="O2" s="44">
        <v>0</v>
      </c>
      <c r="P2" s="44">
        <v>110378</v>
      </c>
      <c r="Q2" s="42" t="s">
        <v>108</v>
      </c>
      <c r="R2" s="42" t="s">
        <v>108</v>
      </c>
      <c r="S2" s="45">
        <f>+P2</f>
        <v>110378</v>
      </c>
    </row>
    <row r="3" spans="2:41" ht="17.25" customHeight="1" x14ac:dyDescent="0.35">
      <c r="B3" s="39" t="s">
        <v>204</v>
      </c>
      <c r="C3" s="40" t="s">
        <v>205</v>
      </c>
      <c r="D3" s="41" t="s">
        <v>57</v>
      </c>
      <c r="E3" s="39" t="s">
        <v>74</v>
      </c>
      <c r="F3" s="39" t="s">
        <v>75</v>
      </c>
      <c r="G3" s="42" t="s">
        <v>206</v>
      </c>
      <c r="H3" s="39" t="s">
        <v>207</v>
      </c>
      <c r="I3" s="43">
        <v>45807.466678240744</v>
      </c>
      <c r="J3" s="43">
        <v>45807.475347222222</v>
      </c>
      <c r="K3" s="44">
        <v>946542</v>
      </c>
      <c r="L3" s="44">
        <v>0</v>
      </c>
      <c r="M3" s="44">
        <v>0</v>
      </c>
      <c r="N3" s="44">
        <v>179842.98</v>
      </c>
      <c r="O3" s="44">
        <v>0</v>
      </c>
      <c r="P3" s="44">
        <v>1126385</v>
      </c>
      <c r="Q3" s="42" t="s">
        <v>108</v>
      </c>
      <c r="R3" s="42" t="s">
        <v>108</v>
      </c>
      <c r="S3" s="45">
        <f t="shared" ref="S3:S15" si="0">+P3</f>
        <v>1126385</v>
      </c>
    </row>
    <row r="4" spans="2:41" ht="17.25" customHeight="1" x14ac:dyDescent="0.35">
      <c r="B4" s="39" t="s">
        <v>208</v>
      </c>
      <c r="C4" s="40" t="s">
        <v>209</v>
      </c>
      <c r="D4" s="41" t="s">
        <v>57</v>
      </c>
      <c r="E4" s="39" t="s">
        <v>74</v>
      </c>
      <c r="F4" s="39" t="s">
        <v>75</v>
      </c>
      <c r="G4" s="42" t="s">
        <v>199</v>
      </c>
      <c r="H4" s="39" t="s">
        <v>200</v>
      </c>
      <c r="I4" s="43">
        <v>45806.876400462963</v>
      </c>
      <c r="J4" s="43">
        <v>45807.407002314816</v>
      </c>
      <c r="K4" s="44">
        <v>392000</v>
      </c>
      <c r="L4" s="44">
        <v>0</v>
      </c>
      <c r="M4" s="44">
        <v>0</v>
      </c>
      <c r="N4" s="44">
        <v>74480</v>
      </c>
      <c r="O4" s="44">
        <v>0</v>
      </c>
      <c r="P4" s="44">
        <v>466480</v>
      </c>
      <c r="Q4" s="42" t="s">
        <v>108</v>
      </c>
      <c r="R4" s="42" t="s">
        <v>108</v>
      </c>
      <c r="S4" s="45">
        <f t="shared" si="0"/>
        <v>466480</v>
      </c>
    </row>
    <row r="5" spans="2:41" ht="17.25" customHeight="1" x14ac:dyDescent="0.35">
      <c r="B5" s="39" t="s">
        <v>241</v>
      </c>
      <c r="C5" s="40" t="s">
        <v>242</v>
      </c>
      <c r="D5" s="41" t="s">
        <v>27</v>
      </c>
      <c r="E5" s="39" t="s">
        <v>74</v>
      </c>
      <c r="F5" s="39" t="s">
        <v>75</v>
      </c>
      <c r="G5" s="42" t="s">
        <v>243</v>
      </c>
      <c r="H5" s="39" t="s">
        <v>244</v>
      </c>
      <c r="I5" s="43">
        <v>45806.664988425924</v>
      </c>
      <c r="J5" s="43">
        <v>45806.678946759261</v>
      </c>
      <c r="K5" s="44">
        <v>12000000</v>
      </c>
      <c r="L5" s="44">
        <v>0</v>
      </c>
      <c r="M5" s="44">
        <v>0</v>
      </c>
      <c r="N5" s="44">
        <v>0</v>
      </c>
      <c r="O5" s="44">
        <v>0</v>
      </c>
      <c r="P5" s="44">
        <v>12000000</v>
      </c>
      <c r="Q5" s="42" t="s">
        <v>108</v>
      </c>
      <c r="R5" s="42" t="s">
        <v>108</v>
      </c>
      <c r="S5" s="45">
        <f t="shared" ref="S5" si="1">+P5</f>
        <v>12000000</v>
      </c>
    </row>
    <row r="6" spans="2:41" ht="17.25" customHeight="1" x14ac:dyDescent="0.35">
      <c r="B6" s="39" t="s">
        <v>210</v>
      </c>
      <c r="C6" s="40" t="s">
        <v>211</v>
      </c>
      <c r="D6" s="41" t="s">
        <v>57</v>
      </c>
      <c r="E6" s="39" t="s">
        <v>74</v>
      </c>
      <c r="F6" s="39" t="s">
        <v>75</v>
      </c>
      <c r="G6" s="42" t="s">
        <v>212</v>
      </c>
      <c r="H6" s="39" t="s">
        <v>213</v>
      </c>
      <c r="I6" s="43">
        <v>45806.432592592595</v>
      </c>
      <c r="J6" s="43">
        <v>45806.43849537037</v>
      </c>
      <c r="K6" s="44">
        <v>220000</v>
      </c>
      <c r="L6" s="44">
        <v>0</v>
      </c>
      <c r="M6" s="44">
        <v>0</v>
      </c>
      <c r="N6" s="44">
        <v>41800</v>
      </c>
      <c r="O6" s="44">
        <v>0</v>
      </c>
      <c r="P6" s="44">
        <v>261800</v>
      </c>
      <c r="Q6" s="42" t="s">
        <v>108</v>
      </c>
      <c r="R6" s="42" t="s">
        <v>108</v>
      </c>
      <c r="S6" s="45">
        <f t="shared" si="0"/>
        <v>261800</v>
      </c>
    </row>
    <row r="7" spans="2:41" ht="17.25" customHeight="1" x14ac:dyDescent="0.35">
      <c r="B7" s="39" t="s">
        <v>214</v>
      </c>
      <c r="C7" s="40" t="s">
        <v>215</v>
      </c>
      <c r="D7" s="41" t="s">
        <v>57</v>
      </c>
      <c r="E7" s="39" t="s">
        <v>74</v>
      </c>
      <c r="F7" s="39" t="s">
        <v>75</v>
      </c>
      <c r="G7" s="42" t="s">
        <v>216</v>
      </c>
      <c r="H7" s="39" t="s">
        <v>217</v>
      </c>
      <c r="I7" s="43">
        <v>45806.413055555553</v>
      </c>
      <c r="J7" s="43">
        <v>45806.422546296293</v>
      </c>
      <c r="K7" s="44">
        <v>576000</v>
      </c>
      <c r="L7" s="44">
        <v>0</v>
      </c>
      <c r="M7" s="44">
        <v>0</v>
      </c>
      <c r="N7" s="44">
        <v>109440</v>
      </c>
      <c r="O7" s="44">
        <v>0</v>
      </c>
      <c r="P7" s="44">
        <v>685440</v>
      </c>
      <c r="Q7" s="42" t="s">
        <v>108</v>
      </c>
      <c r="R7" s="42" t="s">
        <v>108</v>
      </c>
      <c r="S7" s="45">
        <f t="shared" si="0"/>
        <v>685440</v>
      </c>
    </row>
    <row r="8" spans="2:41" ht="17.25" customHeight="1" x14ac:dyDescent="0.35">
      <c r="B8" s="39" t="s">
        <v>218</v>
      </c>
      <c r="C8" s="40" t="s">
        <v>219</v>
      </c>
      <c r="D8" s="41" t="s">
        <v>57</v>
      </c>
      <c r="E8" s="39" t="s">
        <v>74</v>
      </c>
      <c r="F8" s="39" t="s">
        <v>75</v>
      </c>
      <c r="G8" s="42" t="s">
        <v>220</v>
      </c>
      <c r="H8" s="39" t="s">
        <v>221</v>
      </c>
      <c r="I8" s="43">
        <v>45803.672638888886</v>
      </c>
      <c r="J8" s="43">
        <v>45803.695671296293</v>
      </c>
      <c r="K8" s="44">
        <v>2437290</v>
      </c>
      <c r="L8" s="44">
        <v>0</v>
      </c>
      <c r="M8" s="44">
        <v>0</v>
      </c>
      <c r="N8" s="44">
        <v>463085.1</v>
      </c>
      <c r="O8" s="44">
        <v>0</v>
      </c>
      <c r="P8" s="44">
        <v>2900375</v>
      </c>
      <c r="Q8" s="42" t="s">
        <v>108</v>
      </c>
      <c r="R8" s="42" t="s">
        <v>108</v>
      </c>
      <c r="S8" s="45">
        <f t="shared" si="0"/>
        <v>2900375</v>
      </c>
    </row>
    <row r="9" spans="2:41" ht="17.25" customHeight="1" x14ac:dyDescent="0.35">
      <c r="B9" s="39" t="s">
        <v>222</v>
      </c>
      <c r="C9" s="40" t="s">
        <v>223</v>
      </c>
      <c r="D9" s="41" t="s">
        <v>57</v>
      </c>
      <c r="E9" s="39" t="s">
        <v>74</v>
      </c>
      <c r="F9" s="39" t="s">
        <v>75</v>
      </c>
      <c r="G9" s="42" t="s">
        <v>224</v>
      </c>
      <c r="H9" s="39" t="s">
        <v>225</v>
      </c>
      <c r="I9" s="43">
        <v>45800.550034722219</v>
      </c>
      <c r="J9" s="43">
        <v>45800.567893518521</v>
      </c>
      <c r="K9" s="44">
        <v>245000</v>
      </c>
      <c r="L9" s="44">
        <v>0</v>
      </c>
      <c r="M9" s="44">
        <v>0</v>
      </c>
      <c r="N9" s="44">
        <v>46550</v>
      </c>
      <c r="O9" s="44">
        <v>0</v>
      </c>
      <c r="P9" s="44">
        <v>291550</v>
      </c>
      <c r="Q9" s="42" t="s">
        <v>108</v>
      </c>
      <c r="R9" s="42" t="s">
        <v>108</v>
      </c>
      <c r="S9" s="45">
        <f t="shared" si="0"/>
        <v>291550</v>
      </c>
    </row>
    <row r="10" spans="2:41" ht="17.25" customHeight="1" x14ac:dyDescent="0.35">
      <c r="B10" s="39" t="s">
        <v>226</v>
      </c>
      <c r="C10" s="40" t="s">
        <v>227</v>
      </c>
      <c r="D10" s="41" t="s">
        <v>57</v>
      </c>
      <c r="E10" s="39" t="s">
        <v>74</v>
      </c>
      <c r="F10" s="39" t="s">
        <v>75</v>
      </c>
      <c r="G10" s="42" t="s">
        <v>228</v>
      </c>
      <c r="H10" s="39" t="s">
        <v>229</v>
      </c>
      <c r="I10" s="43">
        <v>45800.549756944441</v>
      </c>
      <c r="J10" s="43">
        <v>45800.580567129633</v>
      </c>
      <c r="K10" s="44">
        <v>250000</v>
      </c>
      <c r="L10" s="44">
        <v>0</v>
      </c>
      <c r="M10" s="44">
        <v>0</v>
      </c>
      <c r="N10" s="44">
        <v>47500</v>
      </c>
      <c r="O10" s="44">
        <v>0</v>
      </c>
      <c r="P10" s="44">
        <v>297500</v>
      </c>
      <c r="Q10" s="42" t="s">
        <v>108</v>
      </c>
      <c r="R10" s="42" t="s">
        <v>108</v>
      </c>
      <c r="S10" s="45">
        <f t="shared" si="0"/>
        <v>297500</v>
      </c>
    </row>
    <row r="11" spans="2:41" ht="17.25" customHeight="1" x14ac:dyDescent="0.35">
      <c r="B11" s="39" t="s">
        <v>230</v>
      </c>
      <c r="C11" s="40" t="s">
        <v>231</v>
      </c>
      <c r="D11" s="41" t="s">
        <v>57</v>
      </c>
      <c r="E11" s="39" t="s">
        <v>74</v>
      </c>
      <c r="F11" s="39" t="s">
        <v>75</v>
      </c>
      <c r="G11" s="42" t="s">
        <v>232</v>
      </c>
      <c r="H11" s="39" t="s">
        <v>233</v>
      </c>
      <c r="I11" s="43">
        <v>45800.54896990741</v>
      </c>
      <c r="J11" s="43">
        <v>45800.58861111111</v>
      </c>
      <c r="K11" s="44">
        <v>279300</v>
      </c>
      <c r="L11" s="44">
        <v>0</v>
      </c>
      <c r="M11" s="44">
        <v>0</v>
      </c>
      <c r="N11" s="44">
        <v>53067</v>
      </c>
      <c r="O11" s="44">
        <v>0</v>
      </c>
      <c r="P11" s="44">
        <v>332367</v>
      </c>
      <c r="Q11" s="42" t="s">
        <v>108</v>
      </c>
      <c r="R11" s="42" t="s">
        <v>108</v>
      </c>
      <c r="S11" s="45">
        <f t="shared" si="0"/>
        <v>332367</v>
      </c>
    </row>
    <row r="12" spans="2:41" ht="17.25" customHeight="1" x14ac:dyDescent="0.35">
      <c r="B12" s="39" t="s">
        <v>234</v>
      </c>
      <c r="C12" s="40" t="s">
        <v>235</v>
      </c>
      <c r="D12" s="41" t="s">
        <v>55</v>
      </c>
      <c r="E12" s="39" t="s">
        <v>74</v>
      </c>
      <c r="F12" s="39" t="s">
        <v>75</v>
      </c>
      <c r="G12" s="42" t="s">
        <v>84</v>
      </c>
      <c r="H12" s="39" t="s">
        <v>85</v>
      </c>
      <c r="I12" s="43">
        <v>45797.422685185185</v>
      </c>
      <c r="J12" s="43">
        <v>45797.453217592592</v>
      </c>
      <c r="K12" s="44">
        <v>56991</v>
      </c>
      <c r="L12" s="44">
        <v>0</v>
      </c>
      <c r="M12" s="44">
        <v>7698</v>
      </c>
      <c r="N12" s="44">
        <v>0</v>
      </c>
      <c r="O12" s="44">
        <v>0</v>
      </c>
      <c r="P12" s="44">
        <v>64689</v>
      </c>
      <c r="Q12" s="42" t="s">
        <v>108</v>
      </c>
      <c r="R12" s="42" t="s">
        <v>108</v>
      </c>
      <c r="S12" s="45">
        <f t="shared" si="0"/>
        <v>64689</v>
      </c>
    </row>
    <row r="13" spans="2:41" ht="17.25" customHeight="1" x14ac:dyDescent="0.35">
      <c r="B13" s="39" t="s">
        <v>236</v>
      </c>
      <c r="C13" s="40" t="s">
        <v>237</v>
      </c>
      <c r="D13" s="41" t="s">
        <v>55</v>
      </c>
      <c r="E13" s="39" t="s">
        <v>74</v>
      </c>
      <c r="F13" s="39" t="s">
        <v>75</v>
      </c>
      <c r="G13" s="42" t="s">
        <v>84</v>
      </c>
      <c r="H13" s="39" t="s">
        <v>85</v>
      </c>
      <c r="I13" s="43">
        <v>45796.384282407409</v>
      </c>
      <c r="J13" s="43">
        <v>45797.456828703704</v>
      </c>
      <c r="K13" s="44">
        <v>252153</v>
      </c>
      <c r="L13" s="44">
        <v>0</v>
      </c>
      <c r="M13" s="44">
        <v>7698</v>
      </c>
      <c r="N13" s="44">
        <v>0</v>
      </c>
      <c r="O13" s="44">
        <v>0</v>
      </c>
      <c r="P13" s="44">
        <v>259851</v>
      </c>
      <c r="Q13" s="42" t="s">
        <v>108</v>
      </c>
      <c r="R13" s="42" t="s">
        <v>108</v>
      </c>
      <c r="S13" s="45">
        <f t="shared" si="0"/>
        <v>259851</v>
      </c>
    </row>
    <row r="14" spans="2:41" ht="17.25" customHeight="1" x14ac:dyDescent="0.35">
      <c r="B14" s="39" t="s">
        <v>238</v>
      </c>
      <c r="C14" s="40" t="s">
        <v>133</v>
      </c>
      <c r="D14" s="41" t="s">
        <v>55</v>
      </c>
      <c r="E14" s="39" t="s">
        <v>74</v>
      </c>
      <c r="F14" s="39" t="s">
        <v>75</v>
      </c>
      <c r="G14" s="42" t="s">
        <v>84</v>
      </c>
      <c r="H14" s="39" t="s">
        <v>85</v>
      </c>
      <c r="I14" s="43">
        <v>45793.468784722223</v>
      </c>
      <c r="J14" s="43">
        <v>45793.486747685187</v>
      </c>
      <c r="K14" s="44">
        <v>282537</v>
      </c>
      <c r="L14" s="44">
        <v>0</v>
      </c>
      <c r="M14" s="44">
        <v>15396</v>
      </c>
      <c r="N14" s="44">
        <v>0</v>
      </c>
      <c r="O14" s="44">
        <v>0</v>
      </c>
      <c r="P14" s="44">
        <v>297933</v>
      </c>
      <c r="Q14" s="42" t="s">
        <v>108</v>
      </c>
      <c r="R14" s="42" t="s">
        <v>108</v>
      </c>
      <c r="S14" s="45">
        <f t="shared" si="0"/>
        <v>297933</v>
      </c>
    </row>
    <row r="15" spans="2:41" ht="17.25" customHeight="1" x14ac:dyDescent="0.35">
      <c r="B15" s="39" t="s">
        <v>239</v>
      </c>
      <c r="C15" s="40" t="s">
        <v>133</v>
      </c>
      <c r="D15" s="41" t="s">
        <v>55</v>
      </c>
      <c r="E15" s="39" t="s">
        <v>74</v>
      </c>
      <c r="F15" s="39" t="s">
        <v>75</v>
      </c>
      <c r="G15" s="42" t="s">
        <v>84</v>
      </c>
      <c r="H15" s="39" t="s">
        <v>85</v>
      </c>
      <c r="I15" s="43">
        <v>45793.460844907408</v>
      </c>
      <c r="J15" s="43">
        <v>45793.486377314817</v>
      </c>
      <c r="K15" s="44">
        <v>232187</v>
      </c>
      <c r="L15" s="44">
        <v>0</v>
      </c>
      <c r="M15" s="44">
        <v>15396</v>
      </c>
      <c r="N15" s="44">
        <v>0</v>
      </c>
      <c r="O15" s="44">
        <v>0</v>
      </c>
      <c r="P15" s="44">
        <v>247583</v>
      </c>
      <c r="Q15" s="42" t="s">
        <v>108</v>
      </c>
      <c r="R15" s="42" t="s">
        <v>108</v>
      </c>
      <c r="S15" s="45">
        <f t="shared" si="0"/>
        <v>247583</v>
      </c>
    </row>
    <row r="16" spans="2:41" ht="15" thickBot="1" x14ac:dyDescent="0.4">
      <c r="B16" s="30" t="s">
        <v>240</v>
      </c>
      <c r="C16" s="29"/>
      <c r="D16" s="57">
        <f>COUNTA(D2:D15)</f>
        <v>14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1"/>
      <c r="Q16" s="29"/>
      <c r="R16" s="29"/>
      <c r="S16" s="56">
        <f>SUM(S2:S15)</f>
        <v>19342331</v>
      </c>
    </row>
  </sheetData>
  <pageMargins left="0.7" right="0.7" top="0.75" bottom="0.75" header="0.3" footer="0.3"/>
  <pageSetup paperSize="2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1E61-9385-4C1E-B177-28452346674E}">
  <dimension ref="B1:AO12"/>
  <sheetViews>
    <sheetView zoomScale="80" zoomScaleNormal="80" workbookViewId="0">
      <selection activeCell="B4" sqref="B4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7" customFormat="1" ht="27" customHeight="1" x14ac:dyDescent="0.3">
      <c r="B1" s="46" t="s">
        <v>2</v>
      </c>
      <c r="C1" s="46" t="s">
        <v>3</v>
      </c>
      <c r="D1" s="46" t="s">
        <v>4</v>
      </c>
      <c r="E1" s="46" t="s">
        <v>5</v>
      </c>
      <c r="F1" s="46" t="s">
        <v>22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51</v>
      </c>
      <c r="R1" s="46" t="s">
        <v>52</v>
      </c>
      <c r="S1" s="46" t="s">
        <v>53</v>
      </c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2:41" ht="17.25" customHeight="1" x14ac:dyDescent="0.35">
      <c r="B2" s="39" t="s">
        <v>165</v>
      </c>
      <c r="C2" s="40" t="s">
        <v>166</v>
      </c>
      <c r="D2" s="41" t="s">
        <v>55</v>
      </c>
      <c r="E2" s="39" t="s">
        <v>74</v>
      </c>
      <c r="F2" s="39" t="s">
        <v>75</v>
      </c>
      <c r="G2" s="42" t="s">
        <v>84</v>
      </c>
      <c r="H2" s="39" t="s">
        <v>85</v>
      </c>
      <c r="I2" s="43">
        <v>45775.44771990741</v>
      </c>
      <c r="J2" s="43">
        <v>45775.469768518517</v>
      </c>
      <c r="K2" s="44">
        <v>157923</v>
      </c>
      <c r="L2" s="44">
        <v>0</v>
      </c>
      <c r="M2" s="44">
        <v>15396</v>
      </c>
      <c r="N2" s="44">
        <v>0</v>
      </c>
      <c r="O2" s="44">
        <v>0</v>
      </c>
      <c r="P2" s="44">
        <v>173319</v>
      </c>
      <c r="Q2" s="42" t="s">
        <v>108</v>
      </c>
      <c r="R2" s="42" t="s">
        <v>108</v>
      </c>
      <c r="S2" s="45">
        <f>+P2</f>
        <v>173319</v>
      </c>
    </row>
    <row r="3" spans="2:41" ht="17.25" customHeight="1" x14ac:dyDescent="0.35">
      <c r="B3" s="39" t="s">
        <v>167</v>
      </c>
      <c r="C3" s="40" t="s">
        <v>168</v>
      </c>
      <c r="D3" s="41" t="s">
        <v>57</v>
      </c>
      <c r="E3" s="39" t="s">
        <v>74</v>
      </c>
      <c r="F3" s="39" t="s">
        <v>75</v>
      </c>
      <c r="G3" s="42" t="s">
        <v>169</v>
      </c>
      <c r="H3" s="39" t="s">
        <v>170</v>
      </c>
      <c r="I3" s="43">
        <v>45775.420972222222</v>
      </c>
      <c r="J3" s="43">
        <v>45775.479398148149</v>
      </c>
      <c r="K3" s="44">
        <v>3361345</v>
      </c>
      <c r="L3" s="44">
        <v>0</v>
      </c>
      <c r="M3" s="44">
        <v>0</v>
      </c>
      <c r="N3" s="44">
        <v>638655.55000000005</v>
      </c>
      <c r="O3" s="44">
        <v>0</v>
      </c>
      <c r="P3" s="44">
        <v>4000000.55</v>
      </c>
      <c r="Q3" s="42" t="s">
        <v>108</v>
      </c>
      <c r="R3" s="42" t="s">
        <v>108</v>
      </c>
      <c r="S3" s="45">
        <f t="shared" ref="S3:S11" si="0">+P3</f>
        <v>4000000.55</v>
      </c>
    </row>
    <row r="4" spans="2:41" ht="17.25" customHeight="1" x14ac:dyDescent="0.35">
      <c r="B4" s="39" t="s">
        <v>171</v>
      </c>
      <c r="C4" s="40" t="s">
        <v>172</v>
      </c>
      <c r="D4" s="41" t="s">
        <v>0</v>
      </c>
      <c r="E4" s="39" t="s">
        <v>74</v>
      </c>
      <c r="F4" s="39" t="s">
        <v>75</v>
      </c>
      <c r="G4" s="42" t="s">
        <v>173</v>
      </c>
      <c r="H4" s="39" t="s">
        <v>174</v>
      </c>
      <c r="I4" s="43">
        <v>45772.741678240738</v>
      </c>
      <c r="J4" s="43">
        <v>45772.750775462962</v>
      </c>
      <c r="K4" s="44">
        <v>10016388</v>
      </c>
      <c r="L4" s="44">
        <v>0</v>
      </c>
      <c r="M4" s="44">
        <v>0</v>
      </c>
      <c r="N4" s="44">
        <v>1903113.72</v>
      </c>
      <c r="O4" s="44">
        <v>0</v>
      </c>
      <c r="P4" s="44">
        <v>11919501.720000001</v>
      </c>
      <c r="Q4" s="42" t="s">
        <v>108</v>
      </c>
      <c r="R4" s="42" t="s">
        <v>108</v>
      </c>
      <c r="S4" s="45">
        <f t="shared" si="0"/>
        <v>11919501.720000001</v>
      </c>
    </row>
    <row r="5" spans="2:41" ht="17.25" customHeight="1" x14ac:dyDescent="0.35">
      <c r="B5" s="39" t="s">
        <v>175</v>
      </c>
      <c r="C5" s="40" t="s">
        <v>176</v>
      </c>
      <c r="D5" s="41" t="s">
        <v>57</v>
      </c>
      <c r="E5" s="39" t="s">
        <v>74</v>
      </c>
      <c r="F5" s="39" t="s">
        <v>75</v>
      </c>
      <c r="G5" s="42" t="s">
        <v>111</v>
      </c>
      <c r="H5" s="39" t="s">
        <v>112</v>
      </c>
      <c r="I5" s="43">
        <v>45771.431284722225</v>
      </c>
      <c r="J5" s="43">
        <v>45771.440821759257</v>
      </c>
      <c r="K5" s="44">
        <v>290000</v>
      </c>
      <c r="L5" s="44">
        <v>0</v>
      </c>
      <c r="M5" s="44">
        <v>0</v>
      </c>
      <c r="N5" s="44">
        <v>55100</v>
      </c>
      <c r="O5" s="44">
        <v>0</v>
      </c>
      <c r="P5" s="44">
        <v>345100</v>
      </c>
      <c r="Q5" s="42" t="s">
        <v>108</v>
      </c>
      <c r="R5" s="42" t="s">
        <v>108</v>
      </c>
      <c r="S5" s="45">
        <f t="shared" si="0"/>
        <v>345100</v>
      </c>
    </row>
    <row r="6" spans="2:41" ht="17.25" customHeight="1" x14ac:dyDescent="0.35">
      <c r="B6" s="39" t="s">
        <v>177</v>
      </c>
      <c r="C6" s="40" t="s">
        <v>178</v>
      </c>
      <c r="D6" s="41" t="s">
        <v>57</v>
      </c>
      <c r="E6" s="39" t="s">
        <v>74</v>
      </c>
      <c r="F6" s="39" t="s">
        <v>75</v>
      </c>
      <c r="G6" s="42" t="s">
        <v>179</v>
      </c>
      <c r="H6" s="39" t="s">
        <v>180</v>
      </c>
      <c r="I6" s="43">
        <v>45763.73847222222</v>
      </c>
      <c r="J6" s="43">
        <v>45763.758067129631</v>
      </c>
      <c r="K6" s="44">
        <v>2800000</v>
      </c>
      <c r="L6" s="44">
        <v>0</v>
      </c>
      <c r="M6" s="44">
        <v>0</v>
      </c>
      <c r="N6" s="44">
        <v>532000</v>
      </c>
      <c r="O6" s="44">
        <v>0</v>
      </c>
      <c r="P6" s="44">
        <v>3332000</v>
      </c>
      <c r="Q6" s="42" t="s">
        <v>108</v>
      </c>
      <c r="R6" s="42" t="s">
        <v>108</v>
      </c>
      <c r="S6" s="45">
        <f t="shared" si="0"/>
        <v>3332000</v>
      </c>
    </row>
    <row r="7" spans="2:41" ht="17.25" customHeight="1" x14ac:dyDescent="0.35">
      <c r="B7" s="39" t="s">
        <v>181</v>
      </c>
      <c r="C7" s="40" t="s">
        <v>182</v>
      </c>
      <c r="D7" s="41" t="s">
        <v>27</v>
      </c>
      <c r="E7" s="39" t="s">
        <v>74</v>
      </c>
      <c r="F7" s="39" t="s">
        <v>75</v>
      </c>
      <c r="G7" s="42" t="s">
        <v>183</v>
      </c>
      <c r="H7" s="39" t="s">
        <v>184</v>
      </c>
      <c r="I7" s="43">
        <v>45762.391782407409</v>
      </c>
      <c r="J7" s="43">
        <v>45762.408576388887</v>
      </c>
      <c r="K7" s="44">
        <v>3150000</v>
      </c>
      <c r="L7" s="44">
        <v>0</v>
      </c>
      <c r="M7" s="44">
        <v>0</v>
      </c>
      <c r="N7" s="44">
        <v>598500</v>
      </c>
      <c r="O7" s="44">
        <v>0</v>
      </c>
      <c r="P7" s="44">
        <v>3748500</v>
      </c>
      <c r="Q7" s="42" t="s">
        <v>108</v>
      </c>
      <c r="R7" s="42" t="s">
        <v>108</v>
      </c>
      <c r="S7" s="45">
        <f t="shared" si="0"/>
        <v>3748500</v>
      </c>
    </row>
    <row r="8" spans="2:41" ht="17.25" customHeight="1" x14ac:dyDescent="0.35">
      <c r="B8" s="39" t="s">
        <v>185</v>
      </c>
      <c r="C8" s="40" t="s">
        <v>186</v>
      </c>
      <c r="D8" s="41" t="s">
        <v>57</v>
      </c>
      <c r="E8" s="39" t="s">
        <v>74</v>
      </c>
      <c r="F8" s="39" t="s">
        <v>75</v>
      </c>
      <c r="G8" s="42" t="s">
        <v>187</v>
      </c>
      <c r="H8" s="39" t="s">
        <v>188</v>
      </c>
      <c r="I8" s="43">
        <v>45761.774247685185</v>
      </c>
      <c r="J8" s="43">
        <v>45761.782141203701</v>
      </c>
      <c r="K8" s="44">
        <v>1800000</v>
      </c>
      <c r="L8" s="44">
        <v>0</v>
      </c>
      <c r="M8" s="44">
        <v>0</v>
      </c>
      <c r="N8" s="44">
        <v>342000</v>
      </c>
      <c r="O8" s="44">
        <v>0</v>
      </c>
      <c r="P8" s="44">
        <v>2142000</v>
      </c>
      <c r="Q8" s="42" t="s">
        <v>108</v>
      </c>
      <c r="R8" s="42" t="s">
        <v>108</v>
      </c>
      <c r="S8" s="45">
        <f t="shared" si="0"/>
        <v>2142000</v>
      </c>
    </row>
    <row r="9" spans="2:41" ht="17.25" customHeight="1" x14ac:dyDescent="0.35">
      <c r="B9" s="39" t="s">
        <v>189</v>
      </c>
      <c r="C9" s="40" t="s">
        <v>190</v>
      </c>
      <c r="D9" s="41" t="s">
        <v>0</v>
      </c>
      <c r="E9" s="39" t="s">
        <v>74</v>
      </c>
      <c r="F9" s="39" t="s">
        <v>75</v>
      </c>
      <c r="G9" s="42" t="s">
        <v>191</v>
      </c>
      <c r="H9" s="39" t="s">
        <v>192</v>
      </c>
      <c r="I9" s="43">
        <v>45756.540300925924</v>
      </c>
      <c r="J9" s="43">
        <v>45756.731122685182</v>
      </c>
      <c r="K9" s="44">
        <v>25210084</v>
      </c>
      <c r="L9" s="44">
        <v>0</v>
      </c>
      <c r="M9" s="44">
        <v>0</v>
      </c>
      <c r="N9" s="44">
        <v>4789915.96</v>
      </c>
      <c r="O9" s="44">
        <v>0</v>
      </c>
      <c r="P9" s="44">
        <v>29999999.960000001</v>
      </c>
      <c r="Q9" s="42" t="s">
        <v>108</v>
      </c>
      <c r="R9" s="42" t="s">
        <v>108</v>
      </c>
      <c r="S9" s="45">
        <f t="shared" si="0"/>
        <v>29999999.960000001</v>
      </c>
    </row>
    <row r="10" spans="2:41" ht="17.25" customHeight="1" x14ac:dyDescent="0.35">
      <c r="B10" s="39" t="s">
        <v>193</v>
      </c>
      <c r="C10" s="40" t="s">
        <v>194</v>
      </c>
      <c r="D10" s="41" t="s">
        <v>57</v>
      </c>
      <c r="E10" s="39" t="s">
        <v>74</v>
      </c>
      <c r="F10" s="39" t="s">
        <v>75</v>
      </c>
      <c r="G10" s="42" t="s">
        <v>195</v>
      </c>
      <c r="H10" s="39" t="s">
        <v>196</v>
      </c>
      <c r="I10" s="43">
        <v>45754.421631944446</v>
      </c>
      <c r="J10" s="43">
        <v>45754.447002314817</v>
      </c>
      <c r="K10" s="44">
        <v>1620000</v>
      </c>
      <c r="L10" s="44">
        <v>0</v>
      </c>
      <c r="M10" s="44">
        <v>0</v>
      </c>
      <c r="N10" s="44">
        <v>307800</v>
      </c>
      <c r="O10" s="44">
        <v>0</v>
      </c>
      <c r="P10" s="44">
        <v>1927800</v>
      </c>
      <c r="Q10" s="42" t="s">
        <v>108</v>
      </c>
      <c r="R10" s="42" t="s">
        <v>108</v>
      </c>
      <c r="S10" s="45">
        <f t="shared" si="0"/>
        <v>1927800</v>
      </c>
    </row>
    <row r="11" spans="2:41" ht="17.25" customHeight="1" x14ac:dyDescent="0.35">
      <c r="B11" s="39" t="s">
        <v>197</v>
      </c>
      <c r="C11" s="40" t="s">
        <v>198</v>
      </c>
      <c r="D11" s="41" t="s">
        <v>57</v>
      </c>
      <c r="E11" s="39" t="s">
        <v>74</v>
      </c>
      <c r="F11" s="39" t="s">
        <v>75</v>
      </c>
      <c r="G11" s="42" t="s">
        <v>199</v>
      </c>
      <c r="H11" s="39" t="s">
        <v>200</v>
      </c>
      <c r="I11" s="43">
        <v>45747.584907407407</v>
      </c>
      <c r="J11" s="43">
        <v>45748.434872685182</v>
      </c>
      <c r="K11" s="44">
        <v>2240000</v>
      </c>
      <c r="L11" s="44">
        <v>0</v>
      </c>
      <c r="M11" s="44">
        <v>0</v>
      </c>
      <c r="N11" s="44">
        <v>425600</v>
      </c>
      <c r="O11" s="44">
        <v>0</v>
      </c>
      <c r="P11" s="44">
        <v>2665600</v>
      </c>
      <c r="Q11" s="42" t="s">
        <v>108</v>
      </c>
      <c r="R11" s="42" t="s">
        <v>108</v>
      </c>
      <c r="S11" s="45">
        <f t="shared" si="0"/>
        <v>2665600</v>
      </c>
    </row>
    <row r="12" spans="2:41" ht="15" thickBot="1" x14ac:dyDescent="0.4">
      <c r="B12" s="30" t="s">
        <v>164</v>
      </c>
      <c r="C12" s="29"/>
      <c r="D12" s="57">
        <f>COUNTA(D2:D11)</f>
        <v>10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1"/>
      <c r="Q12" s="29"/>
      <c r="R12" s="29"/>
      <c r="S12" s="56">
        <f>SUM(S2:S11)</f>
        <v>60253821.230000004</v>
      </c>
    </row>
  </sheetData>
  <pageMargins left="0.7" right="0.7" top="0.75" bottom="0.75" header="0.3" footer="0.3"/>
  <pageSetup paperSize="2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6ECA-326C-40F5-AD5C-29233B7718CA}">
  <dimension ref="B1:AO12"/>
  <sheetViews>
    <sheetView zoomScale="80" zoomScaleNormal="80" workbookViewId="0">
      <selection activeCell="D5" sqref="D5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7" customFormat="1" ht="27" customHeight="1" x14ac:dyDescent="0.3">
      <c r="B1" s="46" t="s">
        <v>2</v>
      </c>
      <c r="C1" s="46" t="s">
        <v>3</v>
      </c>
      <c r="D1" s="46" t="s">
        <v>4</v>
      </c>
      <c r="E1" s="46" t="s">
        <v>5</v>
      </c>
      <c r="F1" s="46" t="s">
        <v>22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51</v>
      </c>
      <c r="R1" s="46" t="s">
        <v>52</v>
      </c>
      <c r="S1" s="46" t="s">
        <v>53</v>
      </c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2:41" ht="17.25" customHeight="1" x14ac:dyDescent="0.35">
      <c r="B2" s="39" t="s">
        <v>128</v>
      </c>
      <c r="C2" s="40" t="s">
        <v>129</v>
      </c>
      <c r="D2" s="41" t="s">
        <v>55</v>
      </c>
      <c r="E2" s="39" t="s">
        <v>74</v>
      </c>
      <c r="F2" s="39" t="s">
        <v>75</v>
      </c>
      <c r="G2" s="42" t="s">
        <v>84</v>
      </c>
      <c r="H2" s="39" t="s">
        <v>85</v>
      </c>
      <c r="I2" s="43">
        <v>45743.649664351855</v>
      </c>
      <c r="J2" s="43">
        <v>45743.72216435185</v>
      </c>
      <c r="K2" s="44">
        <v>104719</v>
      </c>
      <c r="L2" s="44">
        <v>0</v>
      </c>
      <c r="M2" s="44">
        <v>7547</v>
      </c>
      <c r="N2" s="44">
        <v>0</v>
      </c>
      <c r="O2" s="44">
        <v>0</v>
      </c>
      <c r="P2" s="44">
        <v>112266</v>
      </c>
      <c r="Q2" s="42" t="s">
        <v>108</v>
      </c>
      <c r="R2" s="42" t="s">
        <v>108</v>
      </c>
      <c r="S2" s="45">
        <f>+P2</f>
        <v>112266</v>
      </c>
    </row>
    <row r="3" spans="2:41" ht="17.25" customHeight="1" x14ac:dyDescent="0.35">
      <c r="B3" s="39" t="s">
        <v>130</v>
      </c>
      <c r="C3" s="40" t="s">
        <v>131</v>
      </c>
      <c r="D3" s="41" t="s">
        <v>55</v>
      </c>
      <c r="E3" s="39" t="s">
        <v>74</v>
      </c>
      <c r="F3" s="39" t="s">
        <v>75</v>
      </c>
      <c r="G3" s="42" t="s">
        <v>84</v>
      </c>
      <c r="H3" s="39" t="s">
        <v>85</v>
      </c>
      <c r="I3" s="43">
        <v>45743.431701388887</v>
      </c>
      <c r="J3" s="43">
        <v>45743.732222222221</v>
      </c>
      <c r="K3" s="44">
        <v>50341</v>
      </c>
      <c r="L3" s="44">
        <v>0</v>
      </c>
      <c r="M3" s="44">
        <v>7547</v>
      </c>
      <c r="N3" s="44">
        <v>0</v>
      </c>
      <c r="O3" s="44">
        <v>0</v>
      </c>
      <c r="P3" s="44">
        <v>57888</v>
      </c>
      <c r="Q3" s="42" t="s">
        <v>108</v>
      </c>
      <c r="R3" s="42" t="s">
        <v>108</v>
      </c>
      <c r="S3" s="45">
        <f t="shared" ref="S3:S10" si="0">+P3</f>
        <v>57888</v>
      </c>
    </row>
    <row r="4" spans="2:41" ht="17.25" customHeight="1" x14ac:dyDescent="0.35">
      <c r="B4" s="39" t="s">
        <v>132</v>
      </c>
      <c r="C4" s="40" t="s">
        <v>133</v>
      </c>
      <c r="D4" s="41" t="s">
        <v>55</v>
      </c>
      <c r="E4" s="39" t="s">
        <v>74</v>
      </c>
      <c r="F4" s="39" t="s">
        <v>75</v>
      </c>
      <c r="G4" s="42" t="s">
        <v>84</v>
      </c>
      <c r="H4" s="39" t="s">
        <v>85</v>
      </c>
      <c r="I4" s="43">
        <v>45740.654189814813</v>
      </c>
      <c r="J4" s="43">
        <v>45740.778611111113</v>
      </c>
      <c r="K4" s="44">
        <v>268832</v>
      </c>
      <c r="L4" s="44">
        <v>0</v>
      </c>
      <c r="M4" s="44">
        <v>15094</v>
      </c>
      <c r="N4" s="44">
        <v>0</v>
      </c>
      <c r="O4" s="44">
        <v>0</v>
      </c>
      <c r="P4" s="44">
        <v>283926</v>
      </c>
      <c r="Q4" s="42" t="s">
        <v>108</v>
      </c>
      <c r="R4" s="42" t="s">
        <v>108</v>
      </c>
      <c r="S4" s="45">
        <f t="shared" si="0"/>
        <v>283926</v>
      </c>
    </row>
    <row r="5" spans="2:41" ht="17.25" customHeight="1" x14ac:dyDescent="0.35">
      <c r="B5" s="39" t="s">
        <v>134</v>
      </c>
      <c r="C5" s="40" t="s">
        <v>135</v>
      </c>
      <c r="D5" s="41" t="s">
        <v>57</v>
      </c>
      <c r="E5" s="39" t="s">
        <v>74</v>
      </c>
      <c r="F5" s="39" t="s">
        <v>75</v>
      </c>
      <c r="G5" s="42" t="s">
        <v>136</v>
      </c>
      <c r="H5" s="39" t="s">
        <v>137</v>
      </c>
      <c r="I5" s="43">
        <v>45735.621666666666</v>
      </c>
      <c r="J5" s="43">
        <v>45735.633587962962</v>
      </c>
      <c r="K5" s="44">
        <v>1727000</v>
      </c>
      <c r="L5" s="44">
        <v>0</v>
      </c>
      <c r="M5" s="44">
        <v>0</v>
      </c>
      <c r="N5" s="44">
        <v>328130</v>
      </c>
      <c r="O5" s="44">
        <v>0</v>
      </c>
      <c r="P5" s="44">
        <v>2055130</v>
      </c>
      <c r="Q5" s="42" t="s">
        <v>108</v>
      </c>
      <c r="R5" s="42" t="s">
        <v>108</v>
      </c>
      <c r="S5" s="45">
        <f t="shared" si="0"/>
        <v>2055130</v>
      </c>
    </row>
    <row r="6" spans="2:41" ht="17.25" customHeight="1" x14ac:dyDescent="0.35">
      <c r="B6" s="39" t="s">
        <v>138</v>
      </c>
      <c r="C6" s="40" t="s">
        <v>139</v>
      </c>
      <c r="D6" s="41" t="s">
        <v>55</v>
      </c>
      <c r="E6" s="39" t="s">
        <v>74</v>
      </c>
      <c r="F6" s="39" t="s">
        <v>75</v>
      </c>
      <c r="G6" s="42" t="s">
        <v>84</v>
      </c>
      <c r="H6" s="39" t="s">
        <v>85</v>
      </c>
      <c r="I6" s="43">
        <v>45735.542511574073</v>
      </c>
      <c r="J6" s="43">
        <v>45736.421990740739</v>
      </c>
      <c r="K6" s="44">
        <v>214014</v>
      </c>
      <c r="L6" s="44">
        <v>0</v>
      </c>
      <c r="M6" s="44">
        <v>15094</v>
      </c>
      <c r="N6" s="44">
        <v>0</v>
      </c>
      <c r="O6" s="44">
        <v>0</v>
      </c>
      <c r="P6" s="44">
        <v>229108</v>
      </c>
      <c r="Q6" s="42" t="s">
        <v>108</v>
      </c>
      <c r="R6" s="42" t="s">
        <v>108</v>
      </c>
      <c r="S6" s="45">
        <f t="shared" si="0"/>
        <v>229108</v>
      </c>
    </row>
    <row r="7" spans="2:41" ht="17.25" customHeight="1" x14ac:dyDescent="0.35">
      <c r="B7" s="39" t="s">
        <v>140</v>
      </c>
      <c r="C7" s="40" t="s">
        <v>141</v>
      </c>
      <c r="D7" s="41" t="s">
        <v>57</v>
      </c>
      <c r="E7" s="39" t="s">
        <v>74</v>
      </c>
      <c r="F7" s="39" t="s">
        <v>75</v>
      </c>
      <c r="G7" s="42" t="s">
        <v>142</v>
      </c>
      <c r="H7" s="39" t="s">
        <v>143</v>
      </c>
      <c r="I7" s="43">
        <v>45734.497118055559</v>
      </c>
      <c r="J7" s="43">
        <v>45734.514444444445</v>
      </c>
      <c r="K7" s="44">
        <v>1167000</v>
      </c>
      <c r="L7" s="44">
        <v>0</v>
      </c>
      <c r="M7" s="44">
        <v>0</v>
      </c>
      <c r="N7" s="44">
        <v>221730</v>
      </c>
      <c r="O7" s="44">
        <v>0</v>
      </c>
      <c r="P7" s="44">
        <v>1388730</v>
      </c>
      <c r="Q7" s="42" t="s">
        <v>108</v>
      </c>
      <c r="R7" s="42" t="s">
        <v>108</v>
      </c>
      <c r="S7" s="45">
        <f t="shared" si="0"/>
        <v>1388730</v>
      </c>
    </row>
    <row r="8" spans="2:41" ht="17.25" customHeight="1" x14ac:dyDescent="0.35">
      <c r="B8" s="39" t="s">
        <v>144</v>
      </c>
      <c r="C8" s="40" t="s">
        <v>145</v>
      </c>
      <c r="D8" s="41" t="s">
        <v>57</v>
      </c>
      <c r="E8" s="39" t="s">
        <v>74</v>
      </c>
      <c r="F8" s="39" t="s">
        <v>75</v>
      </c>
      <c r="G8" s="42" t="s">
        <v>146</v>
      </c>
      <c r="H8" s="39" t="s">
        <v>147</v>
      </c>
      <c r="I8" s="43">
        <v>45729.813483796293</v>
      </c>
      <c r="J8" s="43">
        <v>45729.837835648148</v>
      </c>
      <c r="K8" s="44">
        <v>2474000</v>
      </c>
      <c r="L8" s="44">
        <v>0</v>
      </c>
      <c r="M8" s="44">
        <v>0</v>
      </c>
      <c r="N8" s="44">
        <v>0</v>
      </c>
      <c r="O8" s="44">
        <v>0</v>
      </c>
      <c r="P8" s="44">
        <v>2474000</v>
      </c>
      <c r="Q8" s="42" t="s">
        <v>108</v>
      </c>
      <c r="R8" s="42" t="s">
        <v>108</v>
      </c>
      <c r="S8" s="45">
        <f t="shared" si="0"/>
        <v>2474000</v>
      </c>
    </row>
    <row r="9" spans="2:41" ht="17.25" customHeight="1" x14ac:dyDescent="0.35">
      <c r="B9" s="39" t="s">
        <v>148</v>
      </c>
      <c r="C9" s="40" t="s">
        <v>149</v>
      </c>
      <c r="D9" s="41" t="s">
        <v>57</v>
      </c>
      <c r="E9" s="39" t="s">
        <v>74</v>
      </c>
      <c r="F9" s="39" t="s">
        <v>75</v>
      </c>
      <c r="G9" s="42" t="s">
        <v>150</v>
      </c>
      <c r="H9" s="39" t="s">
        <v>151</v>
      </c>
      <c r="I9" s="43">
        <v>45728.635844907411</v>
      </c>
      <c r="J9" s="43">
        <v>45728.677453703705</v>
      </c>
      <c r="K9" s="44">
        <v>4611168</v>
      </c>
      <c r="L9" s="44">
        <v>0</v>
      </c>
      <c r="M9" s="44">
        <v>0</v>
      </c>
      <c r="N9" s="44">
        <v>876121.92</v>
      </c>
      <c r="O9" s="44">
        <v>0</v>
      </c>
      <c r="P9" s="44">
        <v>5487289.9199999999</v>
      </c>
      <c r="Q9" s="42" t="s">
        <v>108</v>
      </c>
      <c r="R9" s="42" t="s">
        <v>108</v>
      </c>
      <c r="S9" s="45">
        <f t="shared" si="0"/>
        <v>5487289.9199999999</v>
      </c>
    </row>
    <row r="10" spans="2:41" ht="17.25" customHeight="1" x14ac:dyDescent="0.35">
      <c r="B10" s="39" t="s">
        <v>152</v>
      </c>
      <c r="C10" s="40" t="s">
        <v>153</v>
      </c>
      <c r="D10" s="41" t="s">
        <v>57</v>
      </c>
      <c r="E10" s="39" t="s">
        <v>74</v>
      </c>
      <c r="F10" s="39" t="s">
        <v>75</v>
      </c>
      <c r="G10" s="42" t="s">
        <v>154</v>
      </c>
      <c r="H10" s="39" t="s">
        <v>155</v>
      </c>
      <c r="I10" s="43">
        <v>45727.760370370372</v>
      </c>
      <c r="J10" s="43">
        <v>45727.775138888886</v>
      </c>
      <c r="K10" s="44">
        <v>2300000</v>
      </c>
      <c r="L10" s="44">
        <v>0</v>
      </c>
      <c r="M10" s="44">
        <v>0</v>
      </c>
      <c r="N10" s="44">
        <v>0</v>
      </c>
      <c r="O10" s="44">
        <v>0</v>
      </c>
      <c r="P10" s="44">
        <v>2300000</v>
      </c>
      <c r="Q10" s="42" t="s">
        <v>108</v>
      </c>
      <c r="R10" s="42" t="s">
        <v>108</v>
      </c>
      <c r="S10" s="45">
        <f t="shared" si="0"/>
        <v>2300000</v>
      </c>
    </row>
    <row r="11" spans="2:41" ht="17.25" customHeight="1" x14ac:dyDescent="0.35">
      <c r="B11" s="39" t="s">
        <v>156</v>
      </c>
      <c r="C11" s="40" t="s">
        <v>157</v>
      </c>
      <c r="D11" s="41" t="s">
        <v>57</v>
      </c>
      <c r="E11" s="39" t="s">
        <v>74</v>
      </c>
      <c r="F11" s="39" t="s">
        <v>75</v>
      </c>
      <c r="G11" s="42" t="s">
        <v>158</v>
      </c>
      <c r="H11" s="39" t="s">
        <v>159</v>
      </c>
      <c r="I11" s="43">
        <v>45722.663055555553</v>
      </c>
      <c r="J11" s="43">
        <v>45722.679247685184</v>
      </c>
      <c r="K11" s="86">
        <v>25.067</v>
      </c>
      <c r="L11" s="44">
        <v>0</v>
      </c>
      <c r="M11" s="44">
        <v>0</v>
      </c>
      <c r="N11" s="86">
        <v>4.7627300000000004</v>
      </c>
      <c r="O11" s="44">
        <v>0</v>
      </c>
      <c r="P11" s="86">
        <v>29.829730000000001</v>
      </c>
      <c r="Q11" s="42" t="s">
        <v>160</v>
      </c>
      <c r="R11" s="87">
        <v>68034</v>
      </c>
      <c r="S11" s="45">
        <f>+P11*R11</f>
        <v>2029435.8508200001</v>
      </c>
    </row>
    <row r="12" spans="2:41" ht="15" thickBot="1" x14ac:dyDescent="0.4">
      <c r="B12" s="30" t="s">
        <v>127</v>
      </c>
      <c r="C12" s="29"/>
      <c r="D12" s="57">
        <f>COUNTA(D2:D11)</f>
        <v>10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1"/>
      <c r="Q12" s="29"/>
      <c r="R12" s="29"/>
      <c r="S12" s="56">
        <f>SUM(S2:S11)</f>
        <v>16417773.770819999</v>
      </c>
    </row>
  </sheetData>
  <pageMargins left="0.7" right="0.7" top="0.75" bottom="0.75" header="0.3" footer="0.3"/>
  <pageSetup paperSize="2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4A01-28E4-49D0-91A0-92F09413B478}">
  <dimension ref="B1:AO6"/>
  <sheetViews>
    <sheetView zoomScale="80" zoomScaleNormal="80" workbookViewId="0">
      <selection activeCell="D3" sqref="D3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7" customFormat="1" ht="27" customHeight="1" x14ac:dyDescent="0.3">
      <c r="B1" s="46" t="s">
        <v>2</v>
      </c>
      <c r="C1" s="46" t="s">
        <v>3</v>
      </c>
      <c r="D1" s="46" t="s">
        <v>4</v>
      </c>
      <c r="E1" s="46" t="s">
        <v>5</v>
      </c>
      <c r="F1" s="46" t="s">
        <v>22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51</v>
      </c>
      <c r="R1" s="46" t="s">
        <v>52</v>
      </c>
      <c r="S1" s="46" t="s">
        <v>53</v>
      </c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2:41" ht="17.25" customHeight="1" x14ac:dyDescent="0.35">
      <c r="B2" s="39" t="s">
        <v>109</v>
      </c>
      <c r="C2" s="40" t="s">
        <v>110</v>
      </c>
      <c r="D2" s="41" t="s">
        <v>57</v>
      </c>
      <c r="E2" s="39" t="s">
        <v>74</v>
      </c>
      <c r="F2" s="39" t="s">
        <v>75</v>
      </c>
      <c r="G2" s="42" t="s">
        <v>111</v>
      </c>
      <c r="H2" s="39" t="s">
        <v>112</v>
      </c>
      <c r="I2" s="43">
        <v>45713.532175925924</v>
      </c>
      <c r="J2" s="43">
        <v>45713.571180555555</v>
      </c>
      <c r="K2" s="44">
        <v>530000</v>
      </c>
      <c r="L2" s="44">
        <v>0</v>
      </c>
      <c r="M2" s="44">
        <v>0</v>
      </c>
      <c r="N2" s="44">
        <v>100700</v>
      </c>
      <c r="O2" s="44">
        <v>0</v>
      </c>
      <c r="P2" s="44">
        <v>630700</v>
      </c>
      <c r="Q2" s="42" t="s">
        <v>108</v>
      </c>
      <c r="R2" s="42" t="s">
        <v>108</v>
      </c>
      <c r="S2" s="45">
        <f>+P2</f>
        <v>630700</v>
      </c>
    </row>
    <row r="3" spans="2:41" ht="17.25" customHeight="1" x14ac:dyDescent="0.35">
      <c r="B3" s="39" t="s">
        <v>113</v>
      </c>
      <c r="C3" s="40" t="s">
        <v>114</v>
      </c>
      <c r="D3" s="41" t="s">
        <v>57</v>
      </c>
      <c r="E3" s="39" t="s">
        <v>74</v>
      </c>
      <c r="F3" s="39" t="s">
        <v>75</v>
      </c>
      <c r="G3" s="42" t="s">
        <v>115</v>
      </c>
      <c r="H3" s="39" t="s">
        <v>116</v>
      </c>
      <c r="I3" s="43">
        <v>45705.65997685185</v>
      </c>
      <c r="J3" s="43">
        <v>45705.670497685183</v>
      </c>
      <c r="K3" s="44">
        <v>1359783</v>
      </c>
      <c r="L3" s="44">
        <v>0</v>
      </c>
      <c r="M3" s="44">
        <v>0</v>
      </c>
      <c r="N3" s="44">
        <v>258358.77</v>
      </c>
      <c r="O3" s="44">
        <v>0</v>
      </c>
      <c r="P3" s="44">
        <v>1618141.77</v>
      </c>
      <c r="Q3" s="42" t="s">
        <v>108</v>
      </c>
      <c r="R3" s="42" t="s">
        <v>108</v>
      </c>
      <c r="S3" s="45">
        <f t="shared" ref="S3:S5" si="0">+P3</f>
        <v>1618141.77</v>
      </c>
    </row>
    <row r="4" spans="2:41" ht="17.25" customHeight="1" x14ac:dyDescent="0.35">
      <c r="B4" s="39" t="s">
        <v>117</v>
      </c>
      <c r="C4" s="40" t="s">
        <v>118</v>
      </c>
      <c r="D4" s="41" t="s">
        <v>27</v>
      </c>
      <c r="E4" s="39" t="s">
        <v>74</v>
      </c>
      <c r="F4" s="39" t="s">
        <v>75</v>
      </c>
      <c r="G4" s="42" t="s">
        <v>119</v>
      </c>
      <c r="H4" s="39" t="s">
        <v>120</v>
      </c>
      <c r="I4" s="43">
        <v>45692.765706018516</v>
      </c>
      <c r="J4" s="43">
        <v>45705.441435185188</v>
      </c>
      <c r="K4" s="44">
        <v>486564834.5</v>
      </c>
      <c r="L4" s="44">
        <v>0</v>
      </c>
      <c r="M4" s="44">
        <v>0</v>
      </c>
      <c r="N4" s="44">
        <v>92447318.555000007</v>
      </c>
      <c r="O4" s="44">
        <v>0</v>
      </c>
      <c r="P4" s="44">
        <v>579012153.05499995</v>
      </c>
      <c r="Q4" s="42" t="s">
        <v>108</v>
      </c>
      <c r="R4" s="42" t="s">
        <v>108</v>
      </c>
      <c r="S4" s="45">
        <f t="shared" si="0"/>
        <v>579012153.05499995</v>
      </c>
    </row>
    <row r="5" spans="2:41" ht="17.25" customHeight="1" x14ac:dyDescent="0.35">
      <c r="B5" s="39" t="s">
        <v>121</v>
      </c>
      <c r="C5" s="40" t="s">
        <v>122</v>
      </c>
      <c r="D5" s="41" t="s">
        <v>57</v>
      </c>
      <c r="E5" s="39" t="s">
        <v>74</v>
      </c>
      <c r="F5" s="39" t="s">
        <v>75</v>
      </c>
      <c r="G5" s="42" t="s">
        <v>123</v>
      </c>
      <c r="H5" s="39" t="s">
        <v>124</v>
      </c>
      <c r="I5" s="43">
        <v>45692.428229166668</v>
      </c>
      <c r="J5" s="43">
        <v>45693.506006944444</v>
      </c>
      <c r="K5" s="44">
        <v>585000</v>
      </c>
      <c r="L5" s="44">
        <v>0</v>
      </c>
      <c r="M5" s="44">
        <v>0</v>
      </c>
      <c r="N5" s="44">
        <v>111150</v>
      </c>
      <c r="O5" s="44">
        <v>0</v>
      </c>
      <c r="P5" s="44">
        <v>696150</v>
      </c>
      <c r="Q5" s="42" t="s">
        <v>108</v>
      </c>
      <c r="R5" s="42" t="s">
        <v>108</v>
      </c>
      <c r="S5" s="45">
        <f t="shared" si="0"/>
        <v>696150</v>
      </c>
    </row>
    <row r="6" spans="2:41" ht="15" thickBot="1" x14ac:dyDescent="0.4">
      <c r="B6" s="30" t="s">
        <v>125</v>
      </c>
      <c r="C6" s="29"/>
      <c r="D6" s="57">
        <f>COUNTA(D2:D5)</f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  <c r="S6" s="56">
        <f>SUM(S2:S5)</f>
        <v>581957144.82499993</v>
      </c>
    </row>
  </sheetData>
  <pageMargins left="0.7" right="0.7" top="0.75" bottom="0.75" header="0.3" footer="0.3"/>
  <pageSetup paperSize="2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DADC-C304-44EE-B64A-11A916A9C735}">
  <dimension ref="B1:AO14"/>
  <sheetViews>
    <sheetView zoomScale="80" zoomScaleNormal="80" workbookViewId="0">
      <selection activeCell="P30" sqref="P30"/>
    </sheetView>
  </sheetViews>
  <sheetFormatPr baseColWidth="10" defaultColWidth="11.453125" defaultRowHeight="14.5" x14ac:dyDescent="0.35"/>
  <cols>
    <col min="1" max="1" width="2.453125" customWidth="1"/>
    <col min="2" max="2" width="17.54296875" customWidth="1"/>
    <col min="3" max="3" width="23.453125" customWidth="1"/>
    <col min="4" max="4" width="17.1796875" customWidth="1"/>
    <col min="5" max="5" width="12.1796875" customWidth="1"/>
    <col min="6" max="6" width="17.453125" customWidth="1"/>
    <col min="7" max="7" width="18.81640625" customWidth="1"/>
    <col min="8" max="8" width="16.81640625" customWidth="1"/>
    <col min="9" max="9" width="18.26953125" customWidth="1"/>
    <col min="10" max="10" width="20.7265625" customWidth="1"/>
    <col min="11" max="11" width="13" customWidth="1"/>
    <col min="12" max="12" width="13.453125" customWidth="1"/>
    <col min="13" max="13" width="8.54296875" customWidth="1"/>
    <col min="14" max="14" width="13.54296875" customWidth="1"/>
    <col min="15" max="15" width="10" customWidth="1"/>
    <col min="16" max="16" width="13.54296875" bestFit="1" customWidth="1"/>
    <col min="19" max="19" width="14.1796875" customWidth="1"/>
  </cols>
  <sheetData>
    <row r="1" spans="2:41" s="37" customFormat="1" ht="27" customHeight="1" x14ac:dyDescent="0.3">
      <c r="B1" s="46" t="s">
        <v>2</v>
      </c>
      <c r="C1" s="46" t="s">
        <v>3</v>
      </c>
      <c r="D1" s="46" t="s">
        <v>4</v>
      </c>
      <c r="E1" s="46" t="s">
        <v>5</v>
      </c>
      <c r="F1" s="46" t="s">
        <v>22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51</v>
      </c>
      <c r="R1" s="46" t="s">
        <v>52</v>
      </c>
      <c r="S1" s="46" t="s">
        <v>53</v>
      </c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2:41" ht="17.25" customHeight="1" x14ac:dyDescent="0.35">
      <c r="B2" s="39" t="s">
        <v>72</v>
      </c>
      <c r="C2" s="40" t="s">
        <v>73</v>
      </c>
      <c r="D2" s="41" t="s">
        <v>57</v>
      </c>
      <c r="E2" s="39" t="s">
        <v>74</v>
      </c>
      <c r="F2" s="39" t="s">
        <v>75</v>
      </c>
      <c r="G2" s="42" t="s">
        <v>76</v>
      </c>
      <c r="H2" s="39" t="s">
        <v>77</v>
      </c>
      <c r="I2" s="43">
        <v>45677.414803240739</v>
      </c>
      <c r="J2" s="43">
        <v>45677.48201388889</v>
      </c>
      <c r="K2" s="44">
        <v>402956</v>
      </c>
      <c r="L2" s="44">
        <v>0</v>
      </c>
      <c r="M2" s="44">
        <v>0</v>
      </c>
      <c r="N2" s="44">
        <v>76561.64</v>
      </c>
      <c r="O2" s="44">
        <v>0</v>
      </c>
      <c r="P2" s="44">
        <v>479517.64</v>
      </c>
      <c r="Q2" s="42" t="s">
        <v>108</v>
      </c>
      <c r="R2" s="42" t="s">
        <v>108</v>
      </c>
      <c r="S2" s="45">
        <f>+P2</f>
        <v>479517.64</v>
      </c>
    </row>
    <row r="3" spans="2:41" ht="17.25" customHeight="1" x14ac:dyDescent="0.35">
      <c r="B3" s="39" t="s">
        <v>78</v>
      </c>
      <c r="C3" s="40" t="s">
        <v>79</v>
      </c>
      <c r="D3" s="41" t="s">
        <v>57</v>
      </c>
      <c r="E3" s="39" t="s">
        <v>74</v>
      </c>
      <c r="F3" s="39" t="s">
        <v>75</v>
      </c>
      <c r="G3" s="42" t="s">
        <v>80</v>
      </c>
      <c r="H3" s="39" t="s">
        <v>81</v>
      </c>
      <c r="I3" s="43">
        <v>45677.414560185185</v>
      </c>
      <c r="J3" s="43">
        <v>45677.475370370368</v>
      </c>
      <c r="K3" s="44">
        <v>534608</v>
      </c>
      <c r="L3" s="44">
        <v>0</v>
      </c>
      <c r="M3" s="44">
        <v>0</v>
      </c>
      <c r="N3" s="44">
        <v>101575.52</v>
      </c>
      <c r="O3" s="44">
        <v>0</v>
      </c>
      <c r="P3" s="44">
        <v>636183.52</v>
      </c>
      <c r="Q3" s="42" t="s">
        <v>108</v>
      </c>
      <c r="R3" s="42" t="s">
        <v>108</v>
      </c>
      <c r="S3" s="45">
        <f t="shared" ref="S3:S13" si="0">+P3</f>
        <v>636183.52</v>
      </c>
    </row>
    <row r="4" spans="2:41" ht="17.25" customHeight="1" x14ac:dyDescent="0.35">
      <c r="B4" s="39" t="s">
        <v>82</v>
      </c>
      <c r="C4" s="40" t="s">
        <v>83</v>
      </c>
      <c r="D4" s="41" t="s">
        <v>55</v>
      </c>
      <c r="E4" s="39" t="s">
        <v>74</v>
      </c>
      <c r="F4" s="39" t="s">
        <v>75</v>
      </c>
      <c r="G4" s="42" t="s">
        <v>84</v>
      </c>
      <c r="H4" s="39" t="s">
        <v>85</v>
      </c>
      <c r="I4" s="43">
        <v>45671.747696759259</v>
      </c>
      <c r="J4" s="43">
        <v>45672.405706018515</v>
      </c>
      <c r="K4" s="44">
        <v>166474</v>
      </c>
      <c r="L4" s="44">
        <v>0</v>
      </c>
      <c r="M4" s="44">
        <v>13300</v>
      </c>
      <c r="N4" s="44">
        <v>0</v>
      </c>
      <c r="O4" s="44">
        <v>0</v>
      </c>
      <c r="P4" s="44">
        <v>179774</v>
      </c>
      <c r="Q4" s="42" t="s">
        <v>108</v>
      </c>
      <c r="R4" s="42" t="s">
        <v>108</v>
      </c>
      <c r="S4" s="45">
        <f t="shared" si="0"/>
        <v>179774</v>
      </c>
    </row>
    <row r="5" spans="2:41" ht="17.25" customHeight="1" x14ac:dyDescent="0.35">
      <c r="B5" s="39" t="s">
        <v>86</v>
      </c>
      <c r="C5" s="40" t="s">
        <v>87</v>
      </c>
      <c r="D5" s="41" t="s">
        <v>55</v>
      </c>
      <c r="E5" s="39" t="s">
        <v>74</v>
      </c>
      <c r="F5" s="39" t="s">
        <v>75</v>
      </c>
      <c r="G5" s="42" t="s">
        <v>84</v>
      </c>
      <c r="H5" s="39" t="s">
        <v>85</v>
      </c>
      <c r="I5" s="43">
        <v>45667.574641203704</v>
      </c>
      <c r="J5" s="43">
        <v>45667.696701388886</v>
      </c>
      <c r="K5" s="44">
        <v>82229</v>
      </c>
      <c r="L5" s="44">
        <v>0</v>
      </c>
      <c r="M5" s="44">
        <v>5753</v>
      </c>
      <c r="N5" s="44">
        <v>0</v>
      </c>
      <c r="O5" s="44">
        <v>0</v>
      </c>
      <c r="P5" s="44">
        <v>87982</v>
      </c>
      <c r="Q5" s="42" t="s">
        <v>108</v>
      </c>
      <c r="R5" s="42" t="s">
        <v>108</v>
      </c>
      <c r="S5" s="45">
        <f t="shared" si="0"/>
        <v>87982</v>
      </c>
    </row>
    <row r="6" spans="2:41" ht="17.25" customHeight="1" x14ac:dyDescent="0.35">
      <c r="B6" s="39" t="s">
        <v>88</v>
      </c>
      <c r="C6" s="40" t="s">
        <v>89</v>
      </c>
      <c r="D6" s="41" t="s">
        <v>55</v>
      </c>
      <c r="E6" s="39" t="s">
        <v>74</v>
      </c>
      <c r="F6" s="39" t="s">
        <v>75</v>
      </c>
      <c r="G6" s="42" t="s">
        <v>84</v>
      </c>
      <c r="H6" s="39" t="s">
        <v>85</v>
      </c>
      <c r="I6" s="43">
        <v>45667.571608796294</v>
      </c>
      <c r="J6" s="43">
        <v>45667.695937500001</v>
      </c>
      <c r="K6" s="44">
        <v>93091</v>
      </c>
      <c r="L6" s="44">
        <v>0</v>
      </c>
      <c r="M6" s="44">
        <v>7547</v>
      </c>
      <c r="N6" s="44">
        <v>0</v>
      </c>
      <c r="O6" s="44">
        <v>0</v>
      </c>
      <c r="P6" s="44">
        <v>100638</v>
      </c>
      <c r="Q6" s="42" t="s">
        <v>108</v>
      </c>
      <c r="R6" s="42" t="s">
        <v>108</v>
      </c>
      <c r="S6" s="45">
        <f t="shared" si="0"/>
        <v>100638</v>
      </c>
    </row>
    <row r="7" spans="2:41" ht="17.25" customHeight="1" x14ac:dyDescent="0.35">
      <c r="B7" s="39" t="s">
        <v>90</v>
      </c>
      <c r="C7" s="40" t="s">
        <v>91</v>
      </c>
      <c r="D7" s="41" t="s">
        <v>57</v>
      </c>
      <c r="E7" s="39" t="s">
        <v>74</v>
      </c>
      <c r="F7" s="39" t="s">
        <v>75</v>
      </c>
      <c r="G7" s="42" t="s">
        <v>92</v>
      </c>
      <c r="H7" s="39" t="s">
        <v>93</v>
      </c>
      <c r="I7" s="43">
        <v>45665.644247685188</v>
      </c>
      <c r="J7" s="43">
        <v>45665.688113425924</v>
      </c>
      <c r="K7" s="44">
        <v>1748000</v>
      </c>
      <c r="L7" s="44">
        <v>0</v>
      </c>
      <c r="M7" s="44">
        <v>0</v>
      </c>
      <c r="N7" s="44">
        <v>332120</v>
      </c>
      <c r="O7" s="44">
        <v>0</v>
      </c>
      <c r="P7" s="44">
        <v>2080120</v>
      </c>
      <c r="Q7" s="42" t="s">
        <v>108</v>
      </c>
      <c r="R7" s="42" t="s">
        <v>108</v>
      </c>
      <c r="S7" s="45">
        <f t="shared" si="0"/>
        <v>2080120</v>
      </c>
    </row>
    <row r="8" spans="2:41" ht="17.25" customHeight="1" x14ac:dyDescent="0.35">
      <c r="B8" s="39" t="s">
        <v>94</v>
      </c>
      <c r="C8" s="40" t="s">
        <v>95</v>
      </c>
      <c r="D8" s="41" t="s">
        <v>55</v>
      </c>
      <c r="E8" s="39" t="s">
        <v>74</v>
      </c>
      <c r="F8" s="39" t="s">
        <v>75</v>
      </c>
      <c r="G8" s="42" t="s">
        <v>84</v>
      </c>
      <c r="H8" s="39" t="s">
        <v>85</v>
      </c>
      <c r="I8" s="43">
        <v>45663.759756944448</v>
      </c>
      <c r="J8" s="43">
        <v>45663.767025462963</v>
      </c>
      <c r="K8" s="44">
        <v>87001</v>
      </c>
      <c r="L8" s="44">
        <v>0</v>
      </c>
      <c r="M8" s="44">
        <v>5696</v>
      </c>
      <c r="N8" s="44">
        <v>0</v>
      </c>
      <c r="O8" s="44">
        <v>0</v>
      </c>
      <c r="P8" s="44">
        <v>92697</v>
      </c>
      <c r="Q8" s="42" t="s">
        <v>108</v>
      </c>
      <c r="R8" s="42" t="s">
        <v>108</v>
      </c>
      <c r="S8" s="45">
        <f t="shared" si="0"/>
        <v>92697</v>
      </c>
    </row>
    <row r="9" spans="2:41" ht="17.25" customHeight="1" x14ac:dyDescent="0.35">
      <c r="B9" s="39" t="s">
        <v>96</v>
      </c>
      <c r="C9" s="40" t="s">
        <v>97</v>
      </c>
      <c r="D9" s="41" t="s">
        <v>55</v>
      </c>
      <c r="E9" s="39" t="s">
        <v>74</v>
      </c>
      <c r="F9" s="39" t="s">
        <v>75</v>
      </c>
      <c r="G9" s="42" t="s">
        <v>84</v>
      </c>
      <c r="H9" s="39" t="s">
        <v>85</v>
      </c>
      <c r="I9" s="43">
        <v>45663.755972222221</v>
      </c>
      <c r="J9" s="43">
        <v>45663.76761574074</v>
      </c>
      <c r="K9" s="44">
        <v>74091</v>
      </c>
      <c r="L9" s="44">
        <v>0</v>
      </c>
      <c r="M9" s="44">
        <v>7472</v>
      </c>
      <c r="N9" s="44">
        <v>0</v>
      </c>
      <c r="O9" s="44">
        <v>0</v>
      </c>
      <c r="P9" s="44">
        <v>81563</v>
      </c>
      <c r="Q9" s="42" t="s">
        <v>108</v>
      </c>
      <c r="R9" s="42" t="s">
        <v>108</v>
      </c>
      <c r="S9" s="45">
        <f t="shared" si="0"/>
        <v>81563</v>
      </c>
    </row>
    <row r="10" spans="2:41" ht="17.25" customHeight="1" x14ac:dyDescent="0.35">
      <c r="B10" s="39" t="s">
        <v>98</v>
      </c>
      <c r="C10" s="40" t="s">
        <v>99</v>
      </c>
      <c r="D10" s="41" t="s">
        <v>57</v>
      </c>
      <c r="E10" s="39" t="s">
        <v>74</v>
      </c>
      <c r="F10" s="39" t="s">
        <v>75</v>
      </c>
      <c r="G10" s="42" t="s">
        <v>100</v>
      </c>
      <c r="H10" s="39" t="s">
        <v>101</v>
      </c>
      <c r="I10" s="43">
        <v>45660.523946759262</v>
      </c>
      <c r="J10" s="43">
        <v>45660.779803240737</v>
      </c>
      <c r="K10" s="44">
        <v>217900</v>
      </c>
      <c r="L10" s="44">
        <v>0</v>
      </c>
      <c r="M10" s="44">
        <v>0</v>
      </c>
      <c r="N10" s="44">
        <v>41401</v>
      </c>
      <c r="O10" s="44">
        <v>0</v>
      </c>
      <c r="P10" s="44">
        <v>259301</v>
      </c>
      <c r="Q10" s="42" t="s">
        <v>108</v>
      </c>
      <c r="R10" s="42" t="s">
        <v>108</v>
      </c>
      <c r="S10" s="45">
        <f t="shared" si="0"/>
        <v>259301</v>
      </c>
    </row>
    <row r="11" spans="2:41" ht="17.25" customHeight="1" x14ac:dyDescent="0.35">
      <c r="B11" s="39" t="s">
        <v>102</v>
      </c>
      <c r="C11" s="40" t="s">
        <v>103</v>
      </c>
      <c r="D11" s="41" t="s">
        <v>55</v>
      </c>
      <c r="E11" s="39" t="s">
        <v>74</v>
      </c>
      <c r="F11" s="39" t="s">
        <v>75</v>
      </c>
      <c r="G11" s="42" t="s">
        <v>84</v>
      </c>
      <c r="H11" s="39" t="s">
        <v>85</v>
      </c>
      <c r="I11" s="43">
        <v>45660.45989583333</v>
      </c>
      <c r="J11" s="43">
        <v>45660.4684375</v>
      </c>
      <c r="K11" s="44">
        <v>53276</v>
      </c>
      <c r="L11" s="44">
        <v>0</v>
      </c>
      <c r="M11" s="44">
        <v>5696</v>
      </c>
      <c r="N11" s="44">
        <v>0</v>
      </c>
      <c r="O11" s="44">
        <v>0</v>
      </c>
      <c r="P11" s="44">
        <v>58972</v>
      </c>
      <c r="Q11" s="42" t="s">
        <v>108</v>
      </c>
      <c r="R11" s="42" t="s">
        <v>108</v>
      </c>
      <c r="S11" s="45">
        <f t="shared" si="0"/>
        <v>58972</v>
      </c>
    </row>
    <row r="12" spans="2:41" ht="17.25" customHeight="1" x14ac:dyDescent="0.35">
      <c r="B12" s="39" t="s">
        <v>104</v>
      </c>
      <c r="C12" s="40" t="s">
        <v>105</v>
      </c>
      <c r="D12" s="41" t="s">
        <v>55</v>
      </c>
      <c r="E12" s="39" t="s">
        <v>74</v>
      </c>
      <c r="F12" s="39" t="s">
        <v>75</v>
      </c>
      <c r="G12" s="42" t="s">
        <v>84</v>
      </c>
      <c r="H12" s="39" t="s">
        <v>85</v>
      </c>
      <c r="I12" s="43">
        <v>45660.457604166666</v>
      </c>
      <c r="J12" s="43">
        <v>45660.468854166669</v>
      </c>
      <c r="K12" s="44">
        <v>55745</v>
      </c>
      <c r="L12" s="44">
        <v>0</v>
      </c>
      <c r="M12" s="44">
        <v>7472</v>
      </c>
      <c r="N12" s="44">
        <v>0</v>
      </c>
      <c r="O12" s="44">
        <v>0</v>
      </c>
      <c r="P12" s="44">
        <v>63217</v>
      </c>
      <c r="Q12" s="42" t="s">
        <v>108</v>
      </c>
      <c r="R12" s="42" t="s">
        <v>108</v>
      </c>
      <c r="S12" s="45">
        <f t="shared" si="0"/>
        <v>63217</v>
      </c>
    </row>
    <row r="13" spans="2:41" ht="17.25" customHeight="1" x14ac:dyDescent="0.35">
      <c r="B13" s="39" t="s">
        <v>106</v>
      </c>
      <c r="C13" s="40" t="s">
        <v>107</v>
      </c>
      <c r="D13" s="41" t="s">
        <v>55</v>
      </c>
      <c r="E13" s="39" t="s">
        <v>74</v>
      </c>
      <c r="F13" s="39" t="s">
        <v>75</v>
      </c>
      <c r="G13" s="42" t="s">
        <v>84</v>
      </c>
      <c r="H13" s="39" t="s">
        <v>85</v>
      </c>
      <c r="I13" s="43">
        <v>45659.73673611111</v>
      </c>
      <c r="J13" s="43">
        <v>45659.743067129632</v>
      </c>
      <c r="K13" s="44">
        <v>125382</v>
      </c>
      <c r="L13" s="44">
        <v>0</v>
      </c>
      <c r="M13" s="44">
        <v>14944</v>
      </c>
      <c r="N13" s="44">
        <v>0</v>
      </c>
      <c r="O13" s="44">
        <v>0</v>
      </c>
      <c r="P13" s="44">
        <v>140326</v>
      </c>
      <c r="Q13" s="42" t="s">
        <v>108</v>
      </c>
      <c r="R13" s="42" t="s">
        <v>108</v>
      </c>
      <c r="S13" s="45">
        <f t="shared" si="0"/>
        <v>140326</v>
      </c>
    </row>
    <row r="14" spans="2:41" ht="15" thickBot="1" x14ac:dyDescent="0.4">
      <c r="B14" s="30" t="s">
        <v>56</v>
      </c>
      <c r="C14" s="29"/>
      <c r="D14" s="57">
        <f>COUNTA(D2:D13)</f>
        <v>12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1"/>
      <c r="Q14" s="29"/>
      <c r="R14" s="29"/>
      <c r="S14" s="56">
        <f>SUM(S2:S13)</f>
        <v>4260291.16</v>
      </c>
    </row>
  </sheetData>
  <pageMargins left="0.7" right="0.7" top="0.75" bottom="0.75" header="0.3" footer="0.3"/>
  <pageSetup paperSize="2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</vt:lpstr>
      <vt:lpstr>PPTO HISTORICO</vt:lpstr>
      <vt:lpstr>OC Acumulado</vt:lpstr>
      <vt:lpstr>Compras Mayo</vt:lpstr>
      <vt:lpstr>Compras Abril</vt:lpstr>
      <vt:lpstr>Compras Marzo</vt:lpstr>
      <vt:lpstr>Compras Febrero</vt:lpstr>
      <vt:lpstr>Compras 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Díaz Sánchez</dc:creator>
  <cp:lastModifiedBy>Jeanina Cañas Moraga</cp:lastModifiedBy>
  <dcterms:created xsi:type="dcterms:W3CDTF">2020-08-13T19:18:33Z</dcterms:created>
  <dcterms:modified xsi:type="dcterms:W3CDTF">2025-06-13T13:43:39Z</dcterms:modified>
</cp:coreProperties>
</file>